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435" tabRatio="738"/>
  </bookViews>
  <sheets>
    <sheet name="PLANILHA" sheetId="72" r:id="rId1"/>
    <sheet name="MEMORIAL DE CÁLCULO" sheetId="76" r:id="rId2"/>
    <sheet name="CRONOGRAMA" sheetId="73" r:id="rId3"/>
    <sheet name="BDI" sheetId="75" r:id="rId4"/>
    <sheet name="MEDIÇÃO 01" sheetId="74" state="hidden" r:id="rId5"/>
  </sheets>
  <definedNames>
    <definedName name="AccessDatabase" hidden="1">"D:\Arquivos do excel\Planilha modelo1.mdb"</definedName>
    <definedName name="af" localSheetId="2">#REF!</definedName>
    <definedName name="af" localSheetId="0">#REF!</definedName>
    <definedName name="af">#REF!</definedName>
    <definedName name="ag" localSheetId="2">#REF!</definedName>
    <definedName name="ag" localSheetId="0">#REF!</definedName>
    <definedName name="ag">#REF!</definedName>
    <definedName name="_xlnm.Print_Area" localSheetId="3">BDI!$A$1:$J$41</definedName>
    <definedName name="_xlnm.Print_Area" localSheetId="2">CRONOGRAMA!$A$1:$M$51</definedName>
    <definedName name="_xlnm.Print_Area" localSheetId="4">'MEDIÇÃO 01'!$B$2:$M$34</definedName>
    <definedName name="_xlnm.Print_Area" localSheetId="1">'MEMORIAL DE CÁLCULO'!$A$1:$I$182</definedName>
    <definedName name="_xlnm.Print_Area" localSheetId="0">PLANILHA!$B$1:$J$183</definedName>
    <definedName name="BALTO" localSheetId="2">#REF!</definedName>
    <definedName name="BALTO" localSheetId="0">#REF!</definedName>
    <definedName name="BALTO">#REF!</definedName>
    <definedName name="ce" localSheetId="2">#REF!</definedName>
    <definedName name="ce" localSheetId="0">#REF!</definedName>
    <definedName name="ce">#REF!</definedName>
    <definedName name="cho" localSheetId="2">#REF!</definedName>
    <definedName name="cho" localSheetId="0">#REF!</definedName>
    <definedName name="cho">#REF!</definedName>
    <definedName name="ci" localSheetId="2">#REF!</definedName>
    <definedName name="ci" localSheetId="0">#REF!</definedName>
    <definedName name="ci">#REF!</definedName>
    <definedName name="dfdfsdf" localSheetId="2">#REF!</definedName>
    <definedName name="dfdfsdf" localSheetId="0">#REF!</definedName>
    <definedName name="dfdfsdf">#REF!</definedName>
    <definedName name="ERERERERERE" localSheetId="2">#REF!</definedName>
    <definedName name="ERERERERERE" localSheetId="0">#REF!</definedName>
    <definedName name="ERERERERERE">#REF!</definedName>
    <definedName name="EWEWEWE" localSheetId="2">#REF!</definedName>
    <definedName name="EWEWEWE" localSheetId="0">#REF!</definedName>
    <definedName name="EWEWEWE">#REF!</definedName>
    <definedName name="EWWEW" localSheetId="2">#REF!</definedName>
    <definedName name="EWWEW" localSheetId="0">#REF!</definedName>
    <definedName name="EWWEW">#REF!</definedName>
    <definedName name="jazida5" localSheetId="2">#REF!</definedName>
    <definedName name="jazida5" localSheetId="0">#REF!</definedName>
    <definedName name="jazida5">#REF!</definedName>
    <definedName name="jazida6" localSheetId="2">#REF!</definedName>
    <definedName name="jazida6" localSheetId="0">#REF!</definedName>
    <definedName name="jazida6">#REF!</definedName>
    <definedName name="ls" localSheetId="2">#REF!</definedName>
    <definedName name="ls" localSheetId="0">#REF!</definedName>
    <definedName name="ls">#REF!</definedName>
    <definedName name="lub" localSheetId="2">#REF!</definedName>
    <definedName name="lub" localSheetId="0">#REF!</definedName>
    <definedName name="lub">#REF!</definedName>
    <definedName name="meio" localSheetId="2">#REF!</definedName>
    <definedName name="meio" localSheetId="0">#REF!</definedName>
    <definedName name="meio">#REF!</definedName>
    <definedName name="od" localSheetId="2">#REF!</definedName>
    <definedName name="od" localSheetId="0">#REF!</definedName>
    <definedName name="od">#REF!</definedName>
    <definedName name="of" localSheetId="2">#REF!</definedName>
    <definedName name="of" localSheetId="0">#REF!</definedName>
    <definedName name="of">#REF!</definedName>
    <definedName name="p" localSheetId="2">#REF!</definedName>
    <definedName name="p">#REF!</definedName>
    <definedName name="Payment_Needed">"Pagamento necessário"</definedName>
    <definedName name="pdm" localSheetId="2">#REF!</definedName>
    <definedName name="pdm" localSheetId="0">#REF!</definedName>
    <definedName name="pdm">#REF!</definedName>
    <definedName name="pedra" localSheetId="2">#REF!</definedName>
    <definedName name="pedra" localSheetId="0">#REF!</definedName>
    <definedName name="pedra">#REF!</definedName>
    <definedName name="port" localSheetId="2">#REF!</definedName>
    <definedName name="port" localSheetId="0">#REF!</definedName>
    <definedName name="port">#REF!</definedName>
    <definedName name="PREF" localSheetId="2">#REF!</definedName>
    <definedName name="PREF" localSheetId="0">#REF!</definedName>
    <definedName name="PREF">#REF!</definedName>
    <definedName name="Reimbursement">"Reembolso"</definedName>
    <definedName name="ruas" localSheetId="2">#REF!</definedName>
    <definedName name="ruas" localSheetId="0">#REF!</definedName>
    <definedName name="ruas">#REF!</definedName>
    <definedName name="ruas3" localSheetId="2">#REF!</definedName>
    <definedName name="ruas3" localSheetId="0">#REF!</definedName>
    <definedName name="ruas3">#REF!</definedName>
    <definedName name="s" localSheetId="2">#REF!</definedName>
    <definedName name="s" localSheetId="0">#REF!</definedName>
    <definedName name="s">#REF!</definedName>
    <definedName name="se" localSheetId="2">#REF!</definedName>
    <definedName name="se" localSheetId="0">#REF!</definedName>
    <definedName name="se">#REF!</definedName>
    <definedName name="sx" localSheetId="2">#REF!</definedName>
    <definedName name="sx" localSheetId="0">#REF!</definedName>
    <definedName name="sx">#REF!</definedName>
    <definedName name="tb100cm" localSheetId="2">#REF!</definedName>
    <definedName name="tb100cm" localSheetId="0">#REF!</definedName>
    <definedName name="tb100cm">#REF!</definedName>
    <definedName name="_xlnm.Print_Titles" localSheetId="4">'MEDIÇÃO 01'!$B:$M,'MEDIÇÃO 01'!$7:$17</definedName>
    <definedName name="_xlnm.Print_Titles" localSheetId="0">PLANILHA!$B:$J,PLANILHA!$1:$18</definedName>
    <definedName name="total" localSheetId="2">#REF!</definedName>
    <definedName name="total" localSheetId="0">#REF!</definedName>
    <definedName name="total">#REF!</definedName>
    <definedName name="WEQEWEWE" localSheetId="2">#REF!</definedName>
    <definedName name="WEQEWEWE" localSheetId="0">#REF!</definedName>
    <definedName name="WEQEWEWE">#REF!</definedName>
    <definedName name="WEWEW" localSheetId="2">#REF!</definedName>
    <definedName name="WEWEW" localSheetId="0">#REF!</definedName>
    <definedName name="WEWEW">#REF!</definedName>
    <definedName name="WEWEWE" localSheetId="2">#REF!</definedName>
    <definedName name="WEWEWE" localSheetId="0">#REF!</definedName>
    <definedName name="WEWEWE">#REF!</definedName>
  </definedNames>
  <calcPr calcId="152511" fullPrecision="0"/>
</workbook>
</file>

<file path=xl/calcChain.xml><?xml version="1.0" encoding="utf-8"?>
<calcChain xmlns="http://schemas.openxmlformats.org/spreadsheetml/2006/main">
  <c r="J139" i="72" l="1"/>
  <c r="G152" i="72"/>
  <c r="G150" i="72"/>
  <c r="A152" i="76"/>
  <c r="I152" i="72"/>
  <c r="F23" i="76"/>
  <c r="G23" i="72" s="1"/>
  <c r="I23" i="72"/>
  <c r="C23" i="76"/>
  <c r="B23" i="76"/>
  <c r="A23" i="76"/>
  <c r="D23" i="76"/>
  <c r="J152" i="72" l="1"/>
  <c r="J23" i="72"/>
  <c r="I170" i="72"/>
  <c r="I169" i="72"/>
  <c r="I168" i="72"/>
  <c r="I167" i="72"/>
  <c r="I166" i="72"/>
  <c r="I165" i="72"/>
  <c r="I164" i="72"/>
  <c r="I163" i="72"/>
  <c r="I162" i="72"/>
  <c r="I159" i="72"/>
  <c r="I158" i="72"/>
  <c r="I157" i="72"/>
  <c r="I156" i="72"/>
  <c r="I155" i="72"/>
  <c r="I151" i="72"/>
  <c r="I150" i="72"/>
  <c r="I149" i="72"/>
  <c r="I148" i="72"/>
  <c r="I147" i="72"/>
  <c r="I146" i="72"/>
  <c r="I145" i="72"/>
  <c r="I144" i="72"/>
  <c r="I143" i="72"/>
  <c r="I142" i="72"/>
  <c r="I141" i="72"/>
  <c r="I140" i="72"/>
  <c r="I137" i="72"/>
  <c r="I136" i="72"/>
  <c r="I133" i="72"/>
  <c r="I130" i="72"/>
  <c r="I129" i="72"/>
  <c r="I128" i="72"/>
  <c r="I125" i="72"/>
  <c r="I124" i="72"/>
  <c r="I123" i="72"/>
  <c r="I122" i="72"/>
  <c r="I121" i="72"/>
  <c r="I118" i="72"/>
  <c r="I117" i="72"/>
  <c r="I116" i="72"/>
  <c r="I115" i="72"/>
  <c r="I112" i="72"/>
  <c r="I111" i="72"/>
  <c r="I109" i="72"/>
  <c r="I108" i="72"/>
  <c r="I107" i="72"/>
  <c r="I106" i="72"/>
  <c r="I105" i="72"/>
  <c r="I102" i="72"/>
  <c r="I101" i="72"/>
  <c r="I100" i="72"/>
  <c r="I99" i="72"/>
  <c r="I98" i="72"/>
  <c r="I97" i="72"/>
  <c r="I96" i="72"/>
  <c r="I83" i="72"/>
  <c r="I82" i="72"/>
  <c r="I81" i="72"/>
  <c r="I80" i="72"/>
  <c r="I79" i="72"/>
  <c r="I78" i="72"/>
  <c r="I77" i="72"/>
  <c r="I76" i="72"/>
  <c r="I75" i="72"/>
  <c r="I74" i="72"/>
  <c r="I73" i="72"/>
  <c r="I72" i="72"/>
  <c r="I69" i="72"/>
  <c r="I68" i="72"/>
  <c r="I67" i="72"/>
  <c r="I62" i="72"/>
  <c r="I61" i="72"/>
  <c r="I59" i="72"/>
  <c r="I58" i="72"/>
  <c r="I57" i="72"/>
  <c r="I56" i="72"/>
  <c r="I54" i="72"/>
  <c r="I53" i="72"/>
  <c r="I51" i="72"/>
  <c r="I50" i="72"/>
  <c r="I49" i="72"/>
  <c r="I38" i="72"/>
  <c r="I37" i="72"/>
  <c r="I36" i="72"/>
  <c r="I34" i="72"/>
  <c r="I33" i="72"/>
  <c r="I32" i="72"/>
  <c r="I28" i="72"/>
  <c r="I27" i="72"/>
  <c r="I26" i="72"/>
  <c r="I22" i="72"/>
  <c r="I21" i="72"/>
  <c r="E12" i="75"/>
  <c r="G78" i="72" l="1"/>
  <c r="F78" i="76"/>
  <c r="A79" i="76"/>
  <c r="A80" i="76"/>
  <c r="A81" i="76"/>
  <c r="A82" i="76"/>
  <c r="A83" i="76"/>
  <c r="C78" i="76"/>
  <c r="B78" i="76"/>
  <c r="A78" i="76"/>
  <c r="D78" i="76"/>
  <c r="J78" i="72" l="1"/>
  <c r="C77" i="76"/>
  <c r="D77" i="76"/>
  <c r="A151" i="76" l="1"/>
  <c r="C150" i="76"/>
  <c r="B150" i="76"/>
  <c r="A150" i="76"/>
  <c r="D150" i="76"/>
  <c r="J150" i="72"/>
  <c r="G98" i="72" l="1"/>
  <c r="F98" i="76"/>
  <c r="C98" i="76"/>
  <c r="D98" i="76"/>
  <c r="J98" i="72" l="1"/>
  <c r="F169" i="76"/>
  <c r="G169" i="72" s="1"/>
  <c r="F142" i="76"/>
  <c r="F137" i="76"/>
  <c r="G137" i="72" s="1"/>
  <c r="F133" i="76"/>
  <c r="F125" i="76"/>
  <c r="F124" i="76" s="1"/>
  <c r="G124" i="72" s="1"/>
  <c r="D122" i="72"/>
  <c r="E122" i="72"/>
  <c r="F96" i="76"/>
  <c r="F97" i="76" s="1"/>
  <c r="G97" i="72" s="1"/>
  <c r="F95" i="76"/>
  <c r="G95" i="72" s="1"/>
  <c r="F87" i="76"/>
  <c r="G87" i="72" s="1"/>
  <c r="F79" i="76"/>
  <c r="F81" i="76"/>
  <c r="G81" i="72" s="1"/>
  <c r="F80" i="76"/>
  <c r="G80" i="72" s="1"/>
  <c r="F65" i="76"/>
  <c r="G65" i="72" s="1"/>
  <c r="G62" i="72"/>
  <c r="J62" i="72" s="1"/>
  <c r="F62" i="76"/>
  <c r="E62" i="76"/>
  <c r="D62" i="76"/>
  <c r="C62" i="76"/>
  <c r="B62" i="76"/>
  <c r="A62" i="76"/>
  <c r="F56" i="76"/>
  <c r="F59" i="76" s="1"/>
  <c r="G59" i="72" s="1"/>
  <c r="F57" i="76"/>
  <c r="F58" i="76" s="1"/>
  <c r="F53" i="76"/>
  <c r="G53" i="72" s="1"/>
  <c r="F54" i="76"/>
  <c r="G54" i="72" s="1"/>
  <c r="F51" i="76"/>
  <c r="G51" i="72" s="1"/>
  <c r="F50" i="76"/>
  <c r="G50" i="72" s="1"/>
  <c r="F49" i="76"/>
  <c r="G49" i="72" s="1"/>
  <c r="F44" i="76"/>
  <c r="G44" i="72" s="1"/>
  <c r="F38" i="76"/>
  <c r="G38" i="72" s="1"/>
  <c r="F36" i="76"/>
  <c r="G170" i="72"/>
  <c r="G168" i="72"/>
  <c r="G167" i="72"/>
  <c r="G166" i="72"/>
  <c r="G165" i="72"/>
  <c r="G164" i="72"/>
  <c r="G163" i="72"/>
  <c r="G162" i="72"/>
  <c r="G151" i="72"/>
  <c r="G149" i="72"/>
  <c r="G148" i="72"/>
  <c r="G147" i="72"/>
  <c r="G146" i="72"/>
  <c r="G145" i="72"/>
  <c r="G144" i="72"/>
  <c r="G143" i="72"/>
  <c r="G142" i="72"/>
  <c r="G141" i="72"/>
  <c r="G140" i="72"/>
  <c r="G136" i="72"/>
  <c r="G133" i="72"/>
  <c r="G130" i="72"/>
  <c r="G121" i="72"/>
  <c r="G117" i="72"/>
  <c r="G112" i="72"/>
  <c r="G111" i="72"/>
  <c r="G109" i="72"/>
  <c r="G108" i="72"/>
  <c r="G107" i="72"/>
  <c r="G106" i="72"/>
  <c r="G105" i="72"/>
  <c r="G102" i="72"/>
  <c r="G96" i="72"/>
  <c r="G94" i="72"/>
  <c r="G92" i="72"/>
  <c r="G89" i="72"/>
  <c r="G83" i="72"/>
  <c r="G82" i="72"/>
  <c r="G77" i="72"/>
  <c r="G76" i="72"/>
  <c r="G75" i="72"/>
  <c r="G74" i="72"/>
  <c r="G73" i="72"/>
  <c r="G72" i="72"/>
  <c r="G66" i="72"/>
  <c r="G47" i="72"/>
  <c r="G45" i="72"/>
  <c r="G43" i="72"/>
  <c r="G42" i="72"/>
  <c r="G36" i="72"/>
  <c r="G21" i="72"/>
  <c r="F34" i="76"/>
  <c r="G34" i="72" s="1"/>
  <c r="F33" i="76"/>
  <c r="G33" i="72" s="1"/>
  <c r="F37" i="76"/>
  <c r="G37" i="72" s="1"/>
  <c r="F27" i="76"/>
  <c r="F28" i="76" s="1"/>
  <c r="G28" i="72" s="1"/>
  <c r="F26" i="76"/>
  <c r="G26" i="72" s="1"/>
  <c r="F22" i="76"/>
  <c r="G22" i="72" s="1"/>
  <c r="F159" i="76"/>
  <c r="G159" i="72" s="1"/>
  <c r="F158" i="76"/>
  <c r="G158" i="72" s="1"/>
  <c r="F157" i="76"/>
  <c r="G157" i="72" s="1"/>
  <c r="F156" i="76"/>
  <c r="G156" i="72" s="1"/>
  <c r="F155" i="76"/>
  <c r="G155" i="72" s="1"/>
  <c r="F129" i="76"/>
  <c r="G129" i="72" s="1"/>
  <c r="G125" i="72"/>
  <c r="F118" i="76"/>
  <c r="G118" i="72" s="1"/>
  <c r="F115" i="76"/>
  <c r="F116" i="76" s="1"/>
  <c r="F101" i="76"/>
  <c r="G101" i="72" s="1"/>
  <c r="F100" i="76"/>
  <c r="G100" i="72" s="1"/>
  <c r="F99" i="76"/>
  <c r="G99" i="72" s="1"/>
  <c r="F93" i="76"/>
  <c r="G93" i="72" s="1"/>
  <c r="F91" i="76"/>
  <c r="G91" i="72" s="1"/>
  <c r="F90" i="76"/>
  <c r="G90" i="72" s="1"/>
  <c r="F88" i="76"/>
  <c r="G88" i="72" s="1"/>
  <c r="F86" i="76"/>
  <c r="G86" i="72" s="1"/>
  <c r="G79" i="72"/>
  <c r="F69" i="76"/>
  <c r="G69" i="72" s="1"/>
  <c r="F68" i="76"/>
  <c r="G68" i="72" s="1"/>
  <c r="F67" i="76"/>
  <c r="G67" i="72" s="1"/>
  <c r="G61" i="72"/>
  <c r="F32" i="76"/>
  <c r="G32" i="72" s="1"/>
  <c r="C37" i="75"/>
  <c r="C31" i="75"/>
  <c r="J31" i="75" s="1"/>
  <c r="B4" i="75"/>
  <c r="E17" i="75"/>
  <c r="C32" i="75" s="1"/>
  <c r="G116" i="72" l="1"/>
  <c r="F122" i="76"/>
  <c r="G58" i="72"/>
  <c r="G56" i="72"/>
  <c r="G115" i="72"/>
  <c r="G27" i="72"/>
  <c r="G57" i="72"/>
  <c r="F128" i="76"/>
  <c r="G128" i="72" s="1"/>
  <c r="F35" i="75"/>
  <c r="G122" i="72" l="1"/>
  <c r="J122" i="72" s="1"/>
  <c r="F123" i="76"/>
  <c r="G123" i="72" s="1"/>
  <c r="J112" i="72"/>
  <c r="J8" i="73"/>
  <c r="J166" i="72" l="1"/>
  <c r="J165" i="72"/>
  <c r="J164" i="72"/>
  <c r="J163" i="72"/>
  <c r="J162" i="72"/>
  <c r="H44" i="72" l="1"/>
  <c r="I44" i="72" s="1"/>
  <c r="J44" i="72" s="1"/>
  <c r="J169" i="72" l="1"/>
  <c r="J97" i="72"/>
  <c r="J96" i="72"/>
  <c r="B40" i="73"/>
  <c r="B38" i="73"/>
  <c r="B36" i="73"/>
  <c r="B34" i="73"/>
  <c r="B32" i="73"/>
  <c r="B30" i="73"/>
  <c r="B28" i="73"/>
  <c r="B26" i="73"/>
  <c r="B24" i="73"/>
  <c r="B22" i="73"/>
  <c r="B20" i="73"/>
  <c r="B18" i="73"/>
  <c r="A40" i="73"/>
  <c r="A38" i="73"/>
  <c r="A36" i="73"/>
  <c r="A34" i="73"/>
  <c r="A32" i="73"/>
  <c r="A30" i="73"/>
  <c r="A28" i="73"/>
  <c r="A26" i="73"/>
  <c r="A24" i="73"/>
  <c r="A22" i="73"/>
  <c r="A20" i="73"/>
  <c r="A18" i="73"/>
  <c r="B16" i="73"/>
  <c r="A16" i="73"/>
  <c r="A14" i="73"/>
  <c r="B14" i="73"/>
  <c r="A12" i="73"/>
  <c r="B12" i="73"/>
  <c r="J7" i="73"/>
  <c r="J151" i="72"/>
  <c r="J143" i="72"/>
  <c r="J144" i="72"/>
  <c r="I91" i="72"/>
  <c r="I88" i="72"/>
  <c r="I87" i="72"/>
  <c r="I86" i="72"/>
  <c r="I95" i="72"/>
  <c r="J167" i="72"/>
  <c r="J83" i="72"/>
  <c r="J155" i="72" l="1"/>
  <c r="J159" i="72"/>
  <c r="J158" i="72"/>
  <c r="J157" i="72"/>
  <c r="J156" i="72"/>
  <c r="J53" i="72"/>
  <c r="J54" i="72"/>
  <c r="J51" i="72"/>
  <c r="J49" i="72"/>
  <c r="J50" i="72"/>
  <c r="J75" i="72"/>
  <c r="J74" i="72"/>
  <c r="J77" i="72"/>
  <c r="J76" i="72"/>
  <c r="J59" i="72"/>
  <c r="J58" i="72"/>
  <c r="J82" i="72"/>
  <c r="J48" i="72" l="1"/>
  <c r="J52" i="72"/>
  <c r="J154" i="72"/>
  <c r="E39" i="73" s="1"/>
  <c r="L39" i="73" s="1"/>
  <c r="J81" i="72"/>
  <c r="J57" i="72"/>
  <c r="J73" i="72"/>
  <c r="J149" i="72"/>
  <c r="J148" i="72"/>
  <c r="J128" i="72"/>
  <c r="H90" i="72"/>
  <c r="I90" i="72" s="1"/>
  <c r="J91" i="72"/>
  <c r="J146" i="72"/>
  <c r="J142" i="72"/>
  <c r="J168" i="72"/>
  <c r="J108" i="72"/>
  <c r="J107" i="72"/>
  <c r="J106" i="72"/>
  <c r="J133" i="72"/>
  <c r="J132" i="72" s="1"/>
  <c r="E33" i="73" s="1"/>
  <c r="L33" i="73" s="1"/>
  <c r="J137" i="72"/>
  <c r="J136" i="72"/>
  <c r="J47" i="72"/>
  <c r="J46" i="72" s="1"/>
  <c r="I47" i="72"/>
  <c r="H45" i="72"/>
  <c r="J45" i="72" s="1"/>
  <c r="H43" i="72"/>
  <c r="H42" i="72"/>
  <c r="H92" i="72"/>
  <c r="J92" i="72" s="1"/>
  <c r="J69" i="72"/>
  <c r="J68" i="72"/>
  <c r="J67" i="72"/>
  <c r="I65" i="72"/>
  <c r="H89" i="72"/>
  <c r="I89" i="72" s="1"/>
  <c r="H66" i="72"/>
  <c r="J66" i="72" s="1"/>
  <c r="J102" i="72"/>
  <c r="J94" i="72"/>
  <c r="H93" i="72"/>
  <c r="I42" i="72" l="1"/>
  <c r="J42" i="72" s="1"/>
  <c r="I43" i="72"/>
  <c r="J43" i="72" s="1"/>
  <c r="J135" i="72"/>
  <c r="E35" i="73" s="1"/>
  <c r="L35" i="73" s="1"/>
  <c r="J90" i="72"/>
  <c r="J115" i="72"/>
  <c r="J124" i="72"/>
  <c r="J89" i="72"/>
  <c r="J88" i="72"/>
  <c r="J87" i="72"/>
  <c r="J101" i="72"/>
  <c r="J41" i="72" l="1"/>
  <c r="J125" i="72"/>
  <c r="J123" i="72"/>
  <c r="I93" i="72"/>
  <c r="J100" i="72"/>
  <c r="J61" i="72"/>
  <c r="J60" i="72" s="1"/>
  <c r="J99" i="72" l="1"/>
  <c r="J38" i="72"/>
  <c r="J37" i="72"/>
  <c r="J36" i="72"/>
  <c r="J34" i="72"/>
  <c r="J33" i="72"/>
  <c r="J32" i="72"/>
  <c r="J28" i="72"/>
  <c r="J27" i="72"/>
  <c r="J26" i="72"/>
  <c r="J22" i="72"/>
  <c r="J170" i="72"/>
  <c r="J147" i="72"/>
  <c r="J145" i="72"/>
  <c r="J141" i="72"/>
  <c r="J140" i="72"/>
  <c r="J130" i="72"/>
  <c r="J129" i="72"/>
  <c r="J118" i="72"/>
  <c r="J111" i="72"/>
  <c r="J109" i="72"/>
  <c r="J105" i="72"/>
  <c r="J95" i="72"/>
  <c r="J93" i="72"/>
  <c r="J86" i="72"/>
  <c r="J80" i="72"/>
  <c r="J79" i="72"/>
  <c r="J72" i="72"/>
  <c r="J65" i="72"/>
  <c r="J64" i="72" s="1"/>
  <c r="E19" i="73" s="1"/>
  <c r="J56" i="72"/>
  <c r="J55" i="72" s="1"/>
  <c r="J40" i="72" s="1"/>
  <c r="J21" i="72"/>
  <c r="J20" i="72" s="1"/>
  <c r="J31" i="72" l="1"/>
  <c r="J104" i="72"/>
  <c r="J35" i="72"/>
  <c r="J161" i="72"/>
  <c r="G19" i="73"/>
  <c r="H19" i="73"/>
  <c r="I19" i="73"/>
  <c r="I43" i="73" s="1"/>
  <c r="E37" i="73"/>
  <c r="L37" i="73" s="1"/>
  <c r="E41" i="73"/>
  <c r="M41" i="73" s="1"/>
  <c r="J25" i="72"/>
  <c r="E13" i="73" s="1"/>
  <c r="F13" i="73" s="1"/>
  <c r="J71" i="72"/>
  <c r="E21" i="73" s="1"/>
  <c r="E11" i="73"/>
  <c r="F11" i="73" s="1"/>
  <c r="J85" i="72"/>
  <c r="J30" i="72" l="1"/>
  <c r="E15" i="73" s="1"/>
  <c r="F15" i="73" s="1"/>
  <c r="F43" i="73" s="1"/>
  <c r="L21" i="73"/>
  <c r="K21" i="73"/>
  <c r="E23" i="73"/>
  <c r="J117" i="72"/>
  <c r="J116" i="72"/>
  <c r="G15" i="73" l="1"/>
  <c r="L23" i="73"/>
  <c r="K23" i="73"/>
  <c r="J23" i="73"/>
  <c r="J121" i="72"/>
  <c r="E17" i="73" l="1"/>
  <c r="J120" i="72"/>
  <c r="E29" i="73" s="1"/>
  <c r="L29" i="73" l="1"/>
  <c r="M29" i="73"/>
  <c r="H17" i="73"/>
  <c r="H43" i="73" s="1"/>
  <c r="G17" i="73"/>
  <c r="G43" i="73" s="1"/>
  <c r="J114" i="72"/>
  <c r="E27" i="73" s="1"/>
  <c r="J127" i="72"/>
  <c r="E31" i="73" s="1"/>
  <c r="M31" i="73" s="1"/>
  <c r="K27" i="73" l="1"/>
  <c r="J27" i="73"/>
  <c r="J43" i="73" s="1"/>
  <c r="M43" i="73"/>
  <c r="B50" i="73"/>
  <c r="E8" i="73"/>
  <c r="E25" i="73" l="1"/>
  <c r="I172" i="72"/>
  <c r="A10" i="73"/>
  <c r="K25" i="73" l="1"/>
  <c r="K43" i="73" s="1"/>
  <c r="L25" i="73"/>
  <c r="L43" i="73" s="1"/>
  <c r="E43" i="73"/>
  <c r="L42" i="73" l="1"/>
  <c r="K42" i="73"/>
  <c r="J42" i="73"/>
  <c r="I42" i="73"/>
  <c r="M42" i="73"/>
  <c r="G42" i="73"/>
  <c r="H42" i="73"/>
  <c r="E22" i="73"/>
  <c r="E14" i="73"/>
  <c r="E38" i="73"/>
  <c r="E32" i="73"/>
  <c r="E12" i="73"/>
  <c r="E34" i="73"/>
  <c r="E40" i="73"/>
  <c r="E10" i="73"/>
  <c r="E18" i="73"/>
  <c r="E28" i="73"/>
  <c r="E20" i="73"/>
  <c r="E36" i="73"/>
  <c r="E16" i="73"/>
  <c r="E26" i="73"/>
  <c r="E30" i="73"/>
  <c r="E24" i="73"/>
  <c r="H7" i="73"/>
  <c r="B10" i="73" l="1"/>
  <c r="C19" i="74" l="1"/>
  <c r="I20" i="74"/>
  <c r="M20" i="74" s="1"/>
  <c r="I21" i="74"/>
  <c r="M21" i="74" s="1"/>
  <c r="I22" i="74"/>
  <c r="M22" i="74" s="1"/>
  <c r="I23" i="74"/>
  <c r="M23" i="74" s="1"/>
  <c r="I24" i="74"/>
  <c r="M24" i="74" s="1"/>
  <c r="L20" i="74"/>
  <c r="L21" i="74"/>
  <c r="L22" i="74"/>
  <c r="L23" i="74"/>
  <c r="L24" i="74"/>
  <c r="J24" i="74"/>
  <c r="J23" i="74"/>
  <c r="J22" i="74"/>
  <c r="J21" i="74"/>
  <c r="J20" i="74"/>
  <c r="J19" i="74"/>
  <c r="F24" i="74"/>
  <c r="C24" i="74"/>
  <c r="C23" i="74"/>
  <c r="C22" i="74"/>
  <c r="C21" i="74"/>
  <c r="C20" i="74"/>
  <c r="C18" i="74"/>
  <c r="L19" i="74"/>
  <c r="I19" i="74"/>
  <c r="M19" i="74" s="1"/>
  <c r="P18" i="74"/>
  <c r="P25" i="74" s="1"/>
  <c r="J14" i="74"/>
  <c r="L25" i="74" l="1"/>
  <c r="K14" i="74" s="1"/>
  <c r="M14" i="74" s="1"/>
  <c r="M25" i="74"/>
  <c r="L31" i="74" l="1"/>
  <c r="F22" i="74"/>
  <c r="A8" i="73"/>
  <c r="A7" i="73"/>
  <c r="F19" i="74" l="1"/>
  <c r="F20" i="74"/>
  <c r="F21" i="74" l="1"/>
  <c r="F23" i="74" l="1"/>
  <c r="F42" i="73" l="1"/>
</calcChain>
</file>

<file path=xl/sharedStrings.xml><?xml version="1.0" encoding="utf-8"?>
<sst xmlns="http://schemas.openxmlformats.org/spreadsheetml/2006/main" count="1405" uniqueCount="578">
  <si>
    <t>1.5</t>
  </si>
  <si>
    <t>1.4</t>
  </si>
  <si>
    <t>1.3</t>
  </si>
  <si>
    <t>1.2</t>
  </si>
  <si>
    <t>1.1</t>
  </si>
  <si>
    <t>PREÇO TOTAL</t>
  </si>
  <si>
    <t>QUANTIDADE</t>
  </si>
  <si>
    <t>UNIDADE</t>
  </si>
  <si>
    <t>DESCRIÇÃO</t>
  </si>
  <si>
    <t>CÓDIGO</t>
  </si>
  <si>
    <t>ITEM</t>
  </si>
  <si>
    <t>INDIRETA</t>
  </si>
  <si>
    <t>DIRETA</t>
  </si>
  <si>
    <t xml:space="preserve">FORMA DE EXECUÇÃO: </t>
  </si>
  <si>
    <t xml:space="preserve"> </t>
  </si>
  <si>
    <t>Financeiro</t>
  </si>
  <si>
    <t>Físico %</t>
  </si>
  <si>
    <t>TOTAL</t>
  </si>
  <si>
    <t>TOTAL  ETAPAS</t>
  </si>
  <si>
    <t>FÍSICO/ FINANCEIRO</t>
  </si>
  <si>
    <t>ETAPAS/DESCRIÇÃO</t>
  </si>
  <si>
    <t>CRONOGRAMA FÍSICO-FINANCEIRO</t>
  </si>
  <si>
    <t>PLANILHA ORÇAMENTÁRIA DE CUSTOS</t>
  </si>
  <si>
    <t>MÊS 1</t>
  </si>
  <si>
    <t>MÊS 2</t>
  </si>
  <si>
    <t>Observações:</t>
  </si>
  <si>
    <t>(     )</t>
  </si>
  <si>
    <t>1.6</t>
  </si>
  <si>
    <t>MÊS 3</t>
  </si>
  <si>
    <t>MÊS 4</t>
  </si>
  <si>
    <t xml:space="preserve"> BOLETIM DE MEDIÇÃO </t>
  </si>
  <si>
    <t>Folha nº:</t>
  </si>
  <si>
    <t>Valor CT/ TA:</t>
  </si>
  <si>
    <t>Saldo Anterior:</t>
  </si>
  <si>
    <t>Esta medição:</t>
  </si>
  <si>
    <t>Saldo:</t>
  </si>
  <si>
    <t>SERVIÇOS EXECUTADOS</t>
  </si>
  <si>
    <t>QUANT. PREVISTA (Plano de Trabalho)</t>
  </si>
  <si>
    <t>QUANTIDADES EXECUTADAS</t>
  </si>
  <si>
    <t>UNID.</t>
  </si>
  <si>
    <t>VALOR 
UNID.</t>
  </si>
  <si>
    <t>VALORES EXECUTADOS R$</t>
  </si>
  <si>
    <t>Anterior</t>
  </si>
  <si>
    <t>No Período</t>
  </si>
  <si>
    <t>Acumulado</t>
  </si>
  <si>
    <t xml:space="preserve">TOTAL GERAL </t>
  </si>
  <si>
    <t>Fator de Reajust.</t>
  </si>
  <si>
    <t xml:space="preserve">Total s/ reajust. </t>
  </si>
  <si>
    <t>Total c/reajust.</t>
  </si>
  <si>
    <t>Contratante:</t>
  </si>
  <si>
    <t xml:space="preserve">Fiscalização/Prefeitura
</t>
  </si>
  <si>
    <t>Contratada:</t>
  </si>
  <si>
    <t>Engº Responsável técnico
CREA:</t>
  </si>
  <si>
    <t>Importa a presente medição 
em R$:</t>
  </si>
  <si>
    <t>Assinatura do Prefeito</t>
  </si>
  <si>
    <t>Assinatura do Responsável</t>
  </si>
  <si>
    <t>Assinatura do Engenheiro Responsável</t>
  </si>
  <si>
    <r>
      <rPr>
        <b/>
        <sz val="8"/>
        <rFont val="Times New Roman"/>
        <family val="1"/>
      </rPr>
      <t>CONTRATADA:</t>
    </r>
    <r>
      <rPr>
        <sz val="8"/>
        <rFont val="Times New Roman"/>
        <family val="1"/>
      </rPr>
      <t xml:space="preserve">  </t>
    </r>
    <r>
      <rPr>
        <b/>
        <sz val="8"/>
        <color rgb="FF002060"/>
        <rFont val="Times New Roman"/>
        <family val="1"/>
      </rPr>
      <t>CONSÓRCIO INTERMUNICIPAL DE INFRAESTRUTURA DOS MUNICÍPIOS DA AMAJE - CII-AMAJE</t>
    </r>
  </si>
  <si>
    <r>
      <t xml:space="preserve">Contratante: </t>
    </r>
    <r>
      <rPr>
        <b/>
        <sz val="10"/>
        <color rgb="FF002060"/>
        <rFont val="Times New Roman"/>
        <family val="1"/>
      </rPr>
      <t>PREFEITURA MUNICIPAL DE TURMALINA</t>
    </r>
  </si>
  <si>
    <r>
      <t xml:space="preserve">MEDIÇÃO Nº: </t>
    </r>
    <r>
      <rPr>
        <b/>
        <sz val="8"/>
        <color rgb="FF002060"/>
        <rFont val="Times New Roman"/>
        <family val="1"/>
      </rPr>
      <t>01</t>
    </r>
  </si>
  <si>
    <r>
      <t xml:space="preserve">OBRA: </t>
    </r>
    <r>
      <rPr>
        <b/>
        <sz val="8"/>
        <color rgb="FF002060"/>
        <rFont val="Times New Roman"/>
        <family val="1"/>
      </rPr>
      <t>PAVIMENTAÇÃO ASFÁLTICA EM PMF.</t>
    </r>
  </si>
  <si>
    <t>Observação: (Ruas Executadas)
Rua Imbiruçu: 3.777,00 m²
Rua Beija-Flor: 2.178,00 m²</t>
  </si>
  <si>
    <r>
      <t xml:space="preserve">PROCESSO LICITATÓRIO: </t>
    </r>
    <r>
      <rPr>
        <b/>
        <sz val="10"/>
        <color rgb="FF002060"/>
        <rFont val="Times New Roman"/>
        <family val="1"/>
      </rPr>
      <t>029 / 2019</t>
    </r>
  </si>
  <si>
    <r>
      <t xml:space="preserve">Contrato de Programa n.º: </t>
    </r>
    <r>
      <rPr>
        <b/>
        <sz val="10"/>
        <color rgb="FF002060"/>
        <rFont val="Times New Roman"/>
        <family val="1"/>
      </rPr>
      <t xml:space="preserve"> 056 / 2019</t>
    </r>
  </si>
  <si>
    <r>
      <t xml:space="preserve">Dispensa de Licitação n.º: </t>
    </r>
    <r>
      <rPr>
        <b/>
        <sz val="10"/>
        <color rgb="FF002060"/>
        <rFont val="Times New Roman"/>
        <family val="1"/>
      </rPr>
      <t>006 / 2019</t>
    </r>
  </si>
  <si>
    <r>
      <t xml:space="preserve">Data de Emissão: </t>
    </r>
    <r>
      <rPr>
        <b/>
        <sz val="10"/>
        <color rgb="FF002060"/>
        <rFont val="Times New Roman"/>
        <family val="1"/>
      </rPr>
      <t>25/06/2019</t>
    </r>
  </si>
  <si>
    <r>
      <t xml:space="preserve">PERÍODO DE EXECUÇÃO: </t>
    </r>
    <r>
      <rPr>
        <b/>
        <sz val="10"/>
        <color rgb="FF002060"/>
        <rFont val="Times New Roman"/>
        <family val="1"/>
      </rPr>
      <t>10/04/2019 a 25/06/2019</t>
    </r>
  </si>
  <si>
    <r>
      <t xml:space="preserve">(  </t>
    </r>
    <r>
      <rPr>
        <b/>
        <sz val="10"/>
        <color rgb="FF002060"/>
        <rFont val="Arial"/>
        <family val="2"/>
      </rPr>
      <t xml:space="preserve">x </t>
    </r>
    <r>
      <rPr>
        <b/>
        <sz val="10"/>
        <rFont val="Arial"/>
        <family val="2"/>
      </rPr>
      <t xml:space="preserve"> )</t>
    </r>
  </si>
  <si>
    <t>SERVIÇOS PRELIMINARES</t>
  </si>
  <si>
    <t>2.1</t>
  </si>
  <si>
    <t>2.2</t>
  </si>
  <si>
    <t>JOÃO HENRIQUE PEREIRA LOYOLA</t>
  </si>
  <si>
    <t>Engenheiro Civil, Crea-MG: 188176/D</t>
  </si>
  <si>
    <t xml:space="preserve">TOTAL GERAL DA OBRA: </t>
  </si>
  <si>
    <t>1.0</t>
  </si>
  <si>
    <t>2.0</t>
  </si>
  <si>
    <t>3.0</t>
  </si>
  <si>
    <t>4.0</t>
  </si>
  <si>
    <t>4.2</t>
  </si>
  <si>
    <t>4.3</t>
  </si>
  <si>
    <t>BDI</t>
  </si>
  <si>
    <t>SUPERESTRUTURA</t>
  </si>
  <si>
    <t xml:space="preserve">ESQUADRIAS </t>
  </si>
  <si>
    <t xml:space="preserve">SISTEMAS DE COBERTURA </t>
  </si>
  <si>
    <t>REVESTIMENTOS INTERNOS E EXTERNOS</t>
  </si>
  <si>
    <t>INSTALAÇÕES ELÉTRICAS</t>
  </si>
  <si>
    <t>PINTURA</t>
  </si>
  <si>
    <t>5.0</t>
  </si>
  <si>
    <t>6.0</t>
  </si>
  <si>
    <t>7.0</t>
  </si>
  <si>
    <t>9.0</t>
  </si>
  <si>
    <t>10.0</t>
  </si>
  <si>
    <t>PREÇO UNITÁRIO S/ BDI</t>
  </si>
  <si>
    <t>PREÇO UNITÁRIO C/ BDI</t>
  </si>
  <si>
    <t>SEINFRA</t>
  </si>
  <si>
    <t>m²</t>
  </si>
  <si>
    <t>m³</t>
  </si>
  <si>
    <t>SINAPI</t>
  </si>
  <si>
    <t>kg</t>
  </si>
  <si>
    <t>m</t>
  </si>
  <si>
    <t>2.3</t>
  </si>
  <si>
    <t xml:space="preserve">SISTEMA DE VEDAÇÃO VERTICAL INTERNO E EXTERNO </t>
  </si>
  <si>
    <t>APLICAÇÃO MANUAL DE PINTURA COM TINTA LÁTEX PVA EM PAREDES, DUAS DEMÃO</t>
  </si>
  <si>
    <t>un</t>
  </si>
  <si>
    <t>5.1</t>
  </si>
  <si>
    <t>6.1</t>
  </si>
  <si>
    <t>6.3</t>
  </si>
  <si>
    <t>7.2</t>
  </si>
  <si>
    <t>9.1</t>
  </si>
  <si>
    <t>9.2</t>
  </si>
  <si>
    <t>9.3</t>
  </si>
  <si>
    <t>ED-50493</t>
  </si>
  <si>
    <t>PINTURA ÓLEO/ESMALTE, 2 DEMÃOS EM ESQUADRIA MADEIRA SEM MASSA</t>
  </si>
  <si>
    <t>DISJUNTORES</t>
  </si>
  <si>
    <t>DISJUNTOR TIPO DIN/IEC, MONOPOLAR DE 6 ATE 32A</t>
  </si>
  <si>
    <t xml:space="preserve">un </t>
  </si>
  <si>
    <t>ED-17905</t>
  </si>
  <si>
    <t>QUADRO DE DISTRIBUIÇÃO DE ENERGIA EM PVC, DE EMBUTIR, SEM BARRAMENTO, PARA 6 DISJUNTORES - FORNECIMENTO E INSTALAÇÃO.</t>
  </si>
  <si>
    <t>VALOR DO ORÇAMENTO:</t>
  </si>
  <si>
    <t xml:space="preserve">PISOS INTERNOS E EXTERNOS </t>
  </si>
  <si>
    <t>REF.</t>
  </si>
  <si>
    <t>PREFEITURA MUNICIPAL DE COUTO DE MAGALHÃES DE MINAS                                                                                                                                                  CNPJ:17.154.177/0001-86                                                                                                                                                                                                                                            Rua Sebastião Francisco Mota, nº45, Centro, CEP:39.188-000                                                                                                                                                                                                               Telefone: (38) 3533-1244                                                                                                                                                                                                                                                E-mail: gabinete@coutodemagalhaesdeminas.mg.gov.br</t>
  </si>
  <si>
    <r>
      <t xml:space="preserve">CONTRATANTE: </t>
    </r>
    <r>
      <rPr>
        <b/>
        <sz val="10"/>
        <color theme="3"/>
        <rFont val="Arial"/>
        <family val="2"/>
      </rPr>
      <t>PREFEITURA MUNICIPAL DE COUTO DE MAGALHÃES DE MINAS</t>
    </r>
  </si>
  <si>
    <t>Prefeitura Municipal de outo de Magalhães de Minas</t>
  </si>
  <si>
    <t>9.4</t>
  </si>
  <si>
    <t>OUTROS</t>
  </si>
  <si>
    <t>PINTURA COM VERNIZ POLIURETANO COM FILTRO SOLAR EM MADEIRA, DUAS (2) DEMÃOS, ACABAMENTO TIPO FOSCO</t>
  </si>
  <si>
    <t>ED-50530</t>
  </si>
  <si>
    <t>3.1</t>
  </si>
  <si>
    <t>4.1</t>
  </si>
  <si>
    <t>5.2</t>
  </si>
  <si>
    <t>5.3</t>
  </si>
  <si>
    <t>5.4</t>
  </si>
  <si>
    <t>6.2</t>
  </si>
  <si>
    <t>7.1</t>
  </si>
  <si>
    <t>8.0</t>
  </si>
  <si>
    <t>8.1</t>
  </si>
  <si>
    <t>PONTO DE EMBUTIR PARA UMA (1) TOMADA PADRÃO, TRÊS (3) POLOS (2P+T/10A-250V), COM PLACA 4"X2" DE UM (1) POSTO, COM ELETRODUTO DE PVC RÍGIDO ROSCÁVEL, DN 20MM (3/4"), EMBUTIDO NO PISO E CABO DE COBRE FLEXÍVEL, CLASSE 5, ISOLAMENTO TIPO LSHF/ATOX, NÃO HALOGENADO, SEÇÃO 2,5MM2 (70°C-450/750V), COM DISTÂNCIA DE ATÉ DEZ (10) METROS DO PONTO DE DERIVAÇÃO, INCLUSIVE CAIXA DE LIGAÇÃO, SUPORTE E FIXAÇÃO D ELETRODUTO COM ENCHIMENTO DO RASGO NA ALVENARIA/CONCRETO COM ARGAMASSA</t>
  </si>
  <si>
    <t>REVESTIMENTO COM CERÂMICA APLICADO EM PISO, ACABAMENTO ESMALTADO, AMBIENTE INTERNO, PADRÃO EXTRA, DIMENSÃO DA PEÇA ATÉ 2025 CM2, PEI IV, ASSENTAMENTO COM ARGAMASSA INDUSTRIALIZADA, INCLUSIVE REJUNTAMENTO</t>
  </si>
  <si>
    <t>ED-50724</t>
  </si>
  <si>
    <t>8.2</t>
  </si>
  <si>
    <t>REVESTIMENTO COM CERÂMICA APLICADO EM PAREDE, ACABAMENTO ESMALTADO, AMBIENTE INTERNO/EXTERNO, PADRÃO EXTRA, DIMENSÃO DA PEÇA ATÉ 2025 CM2, PEI III, ASSENTAMENTO COM ARGAMASSA INDUSTRIALIZADA, INCLUSIVE REJUNTAMENTO</t>
  </si>
  <si>
    <t>ED-9081</t>
  </si>
  <si>
    <t>7.3</t>
  </si>
  <si>
    <t>ED-50297</t>
  </si>
  <si>
    <t>BACIA SANITÁRIA (VASO) DE LOUÇA COM CAIXA ACOPLADA, COR BRANCA, INCLUSIVE ACESSÓRIOS DE FIXAÇÃO/VEDAÇÃO, ENGATE FLEXÍVEL METÁLICO, FORNECIMENTO, INSTALAÇÃO E REJUNTAMENTO</t>
  </si>
  <si>
    <t>ED-48188</t>
  </si>
  <si>
    <t>SABONETEIRA PLASTICA TIPO DISPENSER PARA SABONETE LIQUIDO
COM RESERVATORIO 800 ML</t>
  </si>
  <si>
    <t>PAPELEIRA METÁLICA CROMADA, INCLUSIVE FIXAÇÃO</t>
  </si>
  <si>
    <t>ED-48181</t>
  </si>
  <si>
    <t>ESPELHO (40X60CM) ESP.4MM INCLUSIVE FIXAÇÃO COM PARAFUSO FINESSON - FORNECIMENTO E INSTALAÇÃO</t>
  </si>
  <si>
    <t>ED-51152</t>
  </si>
  <si>
    <t>ED-50533</t>
  </si>
  <si>
    <t>3.2</t>
  </si>
  <si>
    <t>EMBOÇO COM ARGAMASSA, TRAÇO 1:6 (CIMENTO E AREIA), ESP. 20MM, APLICAÇÃO MANUAL, PREPARO MECÂNICO</t>
  </si>
  <si>
    <t>ED-50732</t>
  </si>
  <si>
    <t>7.4</t>
  </si>
  <si>
    <t>INSTALAÇÕES SANITÁRIAS</t>
  </si>
  <si>
    <t>LOUÇAS E METAIS</t>
  </si>
  <si>
    <t>11.0</t>
  </si>
  <si>
    <t>11.1</t>
  </si>
  <si>
    <t>11.2</t>
  </si>
  <si>
    <t>11.3</t>
  </si>
  <si>
    <t>12.0</t>
  </si>
  <si>
    <t>12.1</t>
  </si>
  <si>
    <t>6.4</t>
  </si>
  <si>
    <t>10.1</t>
  </si>
  <si>
    <t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t>
  </si>
  <si>
    <t>ED-28427</t>
  </si>
  <si>
    <t>FUNDAÇÃO</t>
  </si>
  <si>
    <t>ED-49812</t>
  </si>
  <si>
    <t>LASTRO DE CONCRETO MAGRO, INCLUSIVE TRANSPORTE, LANÇAMENTO E ADENSAMENTO, LANÇAMENTO E ADENSAMENTO</t>
  </si>
  <si>
    <t>LOCAÇÃO DE OBRA COM GABARITO DE TÁBUAS CORRIDAS
PONTALETADAS A CADA 2,00M, REAPROVEITAMENTO (2X),
INCLUSIVE ACOMPANHAMENTO DE EQUIPE TOPOGRÁFICA PARA
MARCAÇÃO DE PONTO TOPOGRÁFICO</t>
  </si>
  <si>
    <t>ED-17989</t>
  </si>
  <si>
    <t>MOVIMENTAÇÃO DE TERRA PARA FUNDAÇÕES</t>
  </si>
  <si>
    <t>ESCAVAÇÃO MANUAL DE VALA COM PROFUNDIDADE MAIOR QUE
1,5M E MENOR OU IGUAL 3,0M, INCLUSIVE DESCARGA LATERAL</t>
  </si>
  <si>
    <t>ED-51108</t>
  </si>
  <si>
    <t>Apiloamento de fundo de valas</t>
  </si>
  <si>
    <t>RO-40239</t>
  </si>
  <si>
    <t>Reaterro e compactação manual de vala</t>
  </si>
  <si>
    <t>RO-40234</t>
  </si>
  <si>
    <t>CONCRETO ARMADO PARA FUNDAÇÕES - SAPATAS</t>
  </si>
  <si>
    <t>CONCRETO ARMADO PARA FUNDAÇÕES - VIGAS BALDRAMES</t>
  </si>
  <si>
    <t>FÔRMA E DESFORMA DE TÁBUA E SARRAFO,
REAPROVEITAMENTO (3X), EXCLUSIVE ESCORAMENTO</t>
  </si>
  <si>
    <t>ED-49643</t>
  </si>
  <si>
    <t>ARMAÇÃO DE BLOCO, VIGA BALDRAME OU SAPATA UTILIZANDO AÇO CA-50 DE 8 MM, MONTAGEM</t>
  </si>
  <si>
    <t>CONTRAVERGA EM CONCRETO ESTRUTURAL PARA VÃOS ACIMA
DE 150CM, PREPARADO EM OBRA COM BETONEIRA, CONTROLE
"A", COM FCK 20 MPA, MOLDADA IN LOCO, INCLUSIVE ARMAÇÃO</t>
  </si>
  <si>
    <t>ED-9906</t>
  </si>
  <si>
    <t>CONCRETO ARMADO - VIGAS</t>
  </si>
  <si>
    <t>CONCRETAGEM DE PILARES, FCK = 25 MPA, COM USO DE BALDES - LANÇAMENTO, ADENSAMENTO E ACABAMENTO.</t>
  </si>
  <si>
    <t>CONCRETO ARMADO PARA LAJES</t>
  </si>
  <si>
    <t>ORÇAMENTO</t>
  </si>
  <si>
    <t>TELHADISTA COM ENCARGOS COMPLEMENTARES</t>
  </si>
  <si>
    <t>h</t>
  </si>
  <si>
    <t>BDI MAT.</t>
  </si>
  <si>
    <t>Ripa de madeira serrada dimensões 02x05cm</t>
  </si>
  <si>
    <t>Caibro de madeira roliça eucalipto tratado, dimensões de 08 a 10 cm de diâmetro</t>
  </si>
  <si>
    <t>Terça de madeira roliça eucalipto tratado, dimensões de 12 a 15 cm de diâmetro</t>
  </si>
  <si>
    <t>Peça de madeira roliça eucalipto tratado, dimensões de 15 cm de diâmetro</t>
  </si>
  <si>
    <t>AJUDANTE DE CARPINTEIRO COM ENCARGOS COMPLEMENTARES</t>
  </si>
  <si>
    <t>CARPINTEIRO DE ESQUADRIA COM ENCARGOS COMPLEMENTARES</t>
  </si>
  <si>
    <t>SERVENTE COM ENCARGOS COMPLEMENTARES</t>
  </si>
  <si>
    <t>5.5</t>
  </si>
  <si>
    <t>und</t>
  </si>
  <si>
    <t>Telha cerâmica colonial/paulista 25 und/m²</t>
  </si>
  <si>
    <t>CONTRAPISO DESEMPENADO COM ARGAMASSA, TRAÇO 1:3 (
CIMENTO E AREIA), ESP. 30MM</t>
  </si>
  <si>
    <t>ED-50568</t>
  </si>
  <si>
    <t>PISO CIMENTADO COM ARGAMASSA, TRAÇO 1:3 (CIMENTO E
AREIA), COM ADITIVO IMPERMEABILIZANTE, ESP. 25MM,
ACABAMENTO DESEMPENADO E FELTRADO</t>
  </si>
  <si>
    <t>ED-50563</t>
  </si>
  <si>
    <t xml:space="preserve">CORTE E DOBRA DE AÇO CA-60, DIÂMETRO DE 5,0 MM. </t>
  </si>
  <si>
    <t>8.3</t>
  </si>
  <si>
    <t>8.4</t>
  </si>
  <si>
    <t>banheiros, cozinha, dml, despensa, palco, banheiro e camarim</t>
  </si>
  <si>
    <t>salão principal e corredores nas varandas</t>
  </si>
  <si>
    <t xml:space="preserve">TONEIRA AUTOMATICA PRESSMATIC BICA ALTA METAL </t>
  </si>
  <si>
    <t>frete</t>
  </si>
  <si>
    <t>Salão, banheiros, cozinha, dml, despensa, camarim, banheiro, palco, muretas</t>
  </si>
  <si>
    <t>AJUDANTE DE TELHADISTA COM ENCARGOS COMPLEMENTARES</t>
  </si>
  <si>
    <t>ED-50364</t>
  </si>
  <si>
    <t>ED48306</t>
  </si>
  <si>
    <t>ED50381</t>
  </si>
  <si>
    <t>ED50367</t>
  </si>
  <si>
    <t>ARGAMASSA, TRAÇO 1:7 ( CIMENTO E AREIA), PREPARO MECÂNICO</t>
  </si>
  <si>
    <t>PEDREIRO COM ENCARGOS COMPLEMENTARES</t>
  </si>
  <si>
    <t xml:space="preserve">Peça de madeira roliça eucalipto tratado, dimensões de 20 a 25 cm de diâmetro </t>
  </si>
  <si>
    <r>
      <t xml:space="preserve">Peça de madeira roliça eucalipto tratado, dimensões de 20 a 25 cm de diâmetro </t>
    </r>
    <r>
      <rPr>
        <b/>
        <sz val="10"/>
        <rFont val="Arial"/>
        <family val="2"/>
      </rPr>
      <t>5 metros</t>
    </r>
  </si>
  <si>
    <r>
      <t xml:space="preserve">Peça de madeira roliça eucalipto tratado, dimensões de 20 a 25 cm de diâmetro </t>
    </r>
    <r>
      <rPr>
        <b/>
        <sz val="10"/>
        <rFont val="Arial"/>
        <family val="2"/>
      </rPr>
      <t>12 metros</t>
    </r>
  </si>
  <si>
    <r>
      <t>Peça de madeira roliça eucalipto tratado, dimensões de 20 a 25 cm de diâmetro 7</t>
    </r>
    <r>
      <rPr>
        <b/>
        <sz val="10"/>
        <rFont val="Arial"/>
        <family val="2"/>
      </rPr>
      <t xml:space="preserve"> metros</t>
    </r>
  </si>
  <si>
    <t>Tijolo cerâmico 11x19x29cm</t>
  </si>
  <si>
    <t>Transporte tijolos 70 km Couto a Diamantina</t>
  </si>
  <si>
    <t>Transporte Telhas  316 km Couto a Turmalina</t>
  </si>
  <si>
    <t>Transporte madeiras  316 km Couto a Turmalina ou Itamarandiba</t>
  </si>
  <si>
    <t xml:space="preserve"> banheiros, cozinha, dml, despensa, camarim, banheiro</t>
  </si>
  <si>
    <t>3.1.1</t>
  </si>
  <si>
    <t>3.2.1</t>
  </si>
  <si>
    <t>3.1.2</t>
  </si>
  <si>
    <t>3.1.3</t>
  </si>
  <si>
    <t>3.2.2</t>
  </si>
  <si>
    <t>3.2.3</t>
  </si>
  <si>
    <t xml:space="preserve">CONCRETO ARMADO - PILARES </t>
  </si>
  <si>
    <t>PILARES DE MADEIRA- SALÃO</t>
  </si>
  <si>
    <t>TRELICA NERVURADA (ESPACADOR), ALTURA = 120,0 MM, DIAMETRO DOS BANZOS</t>
  </si>
  <si>
    <t>CONCRETO ARMADO- CINTAMENTO SALÃO</t>
  </si>
  <si>
    <t>Concreto ciclópico de cimento portland com 30% de pedra de mão, Fck
&gt;= 10 MPa (Execução, incluindo o fornecimento e transporte dos
agregados)</t>
  </si>
  <si>
    <t>RO-41621</t>
  </si>
  <si>
    <t>PONTO DE EMBUTIR PARA ESGOTO EM TUBO PVC RÍGIDO, PBV -
SÉRIE NORMAL, DN 100MM (4"), EMBUTIDO EM PISO COM
DISTÂNCIA DE ATÉ CINCO (5) METROS DA RAMAL DE ESGOTO,
INCLUSIVE CONEXÕES E FIXAÇÃO DO TUBO COM ENCHIMENTO
DO RASGO NO CONCRETO COM ARGAMASSA</t>
  </si>
  <si>
    <t>ED-50225</t>
  </si>
  <si>
    <t>PONTO DE EMBUTIR PARA ESGOTO EM TUBO PVC RÍGIDO, PBV -
SÉRIE NORMAL, DN 50MM (2"), EMBUTIDO EM PISO COM
DISTÂNCIA DE ATÉ CINCO (5) METROS DA RAMAL DE ESGOTO,
EXCLUSIVE ESCAVAÇÃO, INCLUSIVE CONEXÕES E FIXAÇÃO DO
TUBO COM ENCHIMENTO DO RASGO NO CONCRETO COM
ARGAMASSA</t>
  </si>
  <si>
    <t>ED-50224</t>
  </si>
  <si>
    <t>10.4</t>
  </si>
  <si>
    <t>INSTALAÇÕES HIDRÁULICAS</t>
  </si>
  <si>
    <t>PONTO DE EMBUTIR PARA ÁGUA FRIA EM TUBO DE PVC RÍGIDO
SOLDÁVEL, DN 20MM (1/2"), EMBUTIDO NA ALVENARIA COM
DISTÂNCIA DE ATÉ CINCO (5) METROS DA TOMADA DE ÁGUA,
INCLUSIVE CONEXÕES E FIXAÇÃO DO TUBO COM ENCHIMENTO
DO RASGO NA ALVENARIA/CONCRETO COM ARGAMASSA</t>
  </si>
  <si>
    <t>ED-50221</t>
  </si>
  <si>
    <t>PONTO DE EMBUTIR PARA UM (1) INTERRUPTOR SIMPLES (10A-
250V), COM PLACA 4"X2" DE UM (1) POSTO, COM ELETRODUTO
FLEXÍVEL CORRUGADO, ANTI-CHAMA, DN 25MM (3/4"), EMBUTIDO
NA ALVENARIA E CABO DE COBRE FLEXÍVEL, CLASSE 5,
ISOLAMENTO TIPO LSHF/ATOX, NÃO HALOGENADO, SEÇÃO 1,
5MM2 (70°C-450/750V), COM DISTÂNCIA DE ATÉ DEZ (10) METROS
DO PONTO DE DERIVAÇÃO, INCLUSIVE CAIXA DE LIGAÇÃO,
SUPORTE E FIXAÇÃO DO ELETRODUTO COM ENCHIMENTO DO
RASGO NA ALVENARIA/CONCRETO COM ARGAMASSA</t>
  </si>
  <si>
    <t>ED-50227</t>
  </si>
  <si>
    <t>6.5</t>
  </si>
  <si>
    <t>6.6</t>
  </si>
  <si>
    <t>6.7</t>
  </si>
  <si>
    <t>PONTO DE EMBUTIR PARA UMA (1) LUMINÁRIA,COM ELETRODUTO
DE PVC RÍGIDO ROSCÁVEL, DN 20MM (3/4"), EMBUTIDO NA LAJE E
CABO DE COBRE FLEXÍVEL, CLASSE 5, ISOLAMENTO TIPO LSHF/
ATOX, NÃO HALOGENADO, SEÇÃO 1,5MM2 (70°C-450/750V), COM
DISTÂNCIA DE ATÉ CINCO (5) METROS DO PONTO DE DERIVAÇÃO,
EXCLUSIVE LUMINÁRIA, INCLUSIVE CAIXA DE LIGAÇÃO
OCTOGONAL, SUPORTE E FIXAÇÃO DO ELETRODUTO</t>
  </si>
  <si>
    <t>ED-50228</t>
  </si>
  <si>
    <t>PONTO DE EMBUTIR SECO, PARA UMA (1) PLACA CEGA 4"X4",
COM ELETRODUTO DE PVC RÍGIDO ROSCÁVEL, DN 20MM (3/4"),
EMBUTIDO NO PISO E SONDA EM ARAME GALVANIZADO,
DIÂMETRO DE 1,24MM (BWG 18), COM DISTÂNCIA DE ATÉ DEZ (10)
METROS DO PONTO DE DERIVAÇÃO, INCLUSIVE CAIXA DE
LIGAÇÃO, SUPORTE E FIXAÇÃO DO ELETRODUTO COM
ENCHIMENTO DO RASGO NA ALVENARIA/CONCRETO COM
ARGAMASSA</t>
  </si>
  <si>
    <t>ED-50229</t>
  </si>
  <si>
    <t>PONTO DE EMBUTIR PARA GÁS EM TUBO DE AÇO GALVANIZADO
COM COSTURA, DN 1/2", EMBUTIDO NA ALVENARIA COM
DISTÂNCIA DE ATÉ CINCO (5) METROS DO RAMAL DE
ABASTECIMENTO, INCLUSIVE CONEXÕES E FIXAÇÃO DO TUBO
COM ENCHIMENTO DO RASGO NA ALVENARIA/CONCRETO COM
ARGAMASSA</t>
  </si>
  <si>
    <t>ED-50226</t>
  </si>
  <si>
    <t>CUBA DE LOUÇA BRANCA DE SOBREPOR, FORMATO OVAL,
INCLUSIVE VÁLVULA DE ESCOAMENTO DE METAL COM
ACABAMENTO CROMADO, SIFÃO DE METAL TIPO COPO COM
ACABAMENTO CROMADO, FORNECIMENTO E INSTALAÇÃO</t>
  </si>
  <si>
    <t>ED-50280</t>
  </si>
  <si>
    <t>SABONETEIRA METÁLICA CROMADA, TIPO CONCHA, DE
SOBREPOR</t>
  </si>
  <si>
    <t>ED-48187</t>
  </si>
  <si>
    <t>-</t>
  </si>
  <si>
    <t>CHAPISCO APLICADO EM ALVENARIAS E ESTRUTURAS DE CONCRETO INTERNAS, COM COLHER DE PEDREIRO. ARGAMASSA TRAÇO 1:3 COM PREPARO MANUAL.</t>
  </si>
  <si>
    <t>Reboco de argamassa de cimento e areia, traço 1:5 (Execução, incluindo
o fornecimento e transporte de todos os materiais)</t>
  </si>
  <si>
    <t>RO-41662</t>
  </si>
  <si>
    <t>ED-48163</t>
  </si>
  <si>
    <t>BARRA DE APOIO EM AÇO INOX POLIDO RETA, DN 1.1/4" (31,75MM)
, PARA ACESSIBILIDADE (PMR/PCR), COMPRIMENTO 70CM,
INSTALADO EM PAREDE, INCLUSIVE FORNECIMENTO,
INSTALAÇÃO E ACESSÓRIOS PARA FIXAÇÃO</t>
  </si>
  <si>
    <t>ED-48164</t>
  </si>
  <si>
    <t>ED-50916</t>
  </si>
  <si>
    <t>ED-50915</t>
  </si>
  <si>
    <t>JANELA EM GRADE E TELA - PADRÃO SEDS</t>
  </si>
  <si>
    <t>ED-50795</t>
  </si>
  <si>
    <t>JANELA BASCULANTE METÁLICA EM QUADRO CANTONEIRA 3/4"x 3
/4" x 1/8"</t>
  </si>
  <si>
    <t>ED-50798</t>
  </si>
  <si>
    <t>VERGA PRÉ-MOLDADA PARA JANELAS COM MAIS DE 1,5 M DE VÃO.</t>
  </si>
  <si>
    <t>FORNECIMENTO E ASSENTAMENTO DE JANELA BASCULANTE DE
FERRO</t>
  </si>
  <si>
    <t>ED-50954</t>
  </si>
  <si>
    <t>4.4</t>
  </si>
  <si>
    <t>4.5</t>
  </si>
  <si>
    <t>BARRA DE APOIO EM AÇO INOX POLIDO RETA, DN 1.1/4" (31,75MM)
, PARA ACESSIBILIDADE (PMR/PCR), COMPRIMENTO 40CM,
INSTALADO EM PORTA/PAREDE, INCLUSIVE FORNECIMENTO,
INSTALAÇÃO E ACESSÓRIOS PARA FIXAÇÃO- PORTAS SANITÁRIOS</t>
  </si>
  <si>
    <t>PORTA DE SANITÁRIO COMPLETA, COM BATENTES DE FERRO,
ESTRUTURA EM METALON 20 X 30 MM, FOLHA EM CHAPA
GALVANIZADA Nº. 18, TRANQUETA E DOBRADIÇAS - 80 X 150 CM</t>
  </si>
  <si>
    <t>ED-50977</t>
  </si>
  <si>
    <t>PORTA DE ABRIR, MADEIRA DE LEI PRANCHETA PARA PINTURA
COMPLETA 60 X 210 CM,COM FERRAGENS EM FERRO LATONADO</t>
  </si>
  <si>
    <t>ED-49600</t>
  </si>
  <si>
    <t>CAMARIM</t>
  </si>
  <si>
    <t>BANHEIRO CAMARIM</t>
  </si>
  <si>
    <t>2 COZINHA, 1 D.M.L, 1 DESPENSA, 1 BANHEIRO MASC. 1 BANHEIRO FEM.</t>
  </si>
  <si>
    <t>PORTA EM ALUMÍNIO DE CORRER COM 2 FOLHAS (140X210)CM
COMPLETA, LINHA 25/SUPREMA, ACABAMENTO ANODIZADO
NATURAL, INCLUSIVE PERFIS, VIDRO, FERRAGENS E INSTALAÇÃO</t>
  </si>
  <si>
    <t>ED-29486</t>
  </si>
  <si>
    <t>PALCO</t>
  </si>
  <si>
    <t>JANELA DE VIDRO TEMPERADO 8 MM DE CORRER COM 4 FOLHAS, DIMENSÕES 200X100CM, COR VERDE FORNECIMENTO E INSTALAÇÃO.</t>
  </si>
  <si>
    <t xml:space="preserve">JANELA DE VIDRO TEMPERADO 8 MM DE CORRER COM 4 FOLHAS, DIMENSÕES 150X100CM, COR VERDE FORNECIMENTO E INSTALAÇÃO. </t>
  </si>
  <si>
    <t>CONCRETO ARMADO PARA VERGAS E CONTRAVERGAS</t>
  </si>
  <si>
    <t>CONTRAVERGA EM CONCRETO ESTRUTURAL PARA VÃOS DE ATÉ
150CM, PREPARADO EM OBRA COM BETONEIRA, CONTROLE "A",
COM FCK 20 MPA, MOLDADA IN LOCO, INCLUSIVE ARMAÇÃO</t>
  </si>
  <si>
    <t>ED-9903</t>
  </si>
  <si>
    <t>PILARES NOVA CONSTRUÇÃO</t>
  </si>
  <si>
    <t>VIGA 0,10 A 0,20 M DE LARGURA, CONCRETO 1:2:4 COM ARMAÇÃO
E FORMA RESINADA</t>
  </si>
  <si>
    <t>ED-48336</t>
  </si>
  <si>
    <t>CONCRETAGEM DE BALDRAME, FCK 30 MPA, COM USO DE JERICA LANÇAMENTO, ADENSAMENTO E ACABAMENTO.</t>
  </si>
  <si>
    <t>10.2</t>
  </si>
  <si>
    <t>4.1.1</t>
  </si>
  <si>
    <t>4.1.2</t>
  </si>
  <si>
    <t>4.1.3</t>
  </si>
  <si>
    <t>4.2.1</t>
  </si>
  <si>
    <t>4.3.1</t>
  </si>
  <si>
    <t>4.3.2</t>
  </si>
  <si>
    <t>4.3.3</t>
  </si>
  <si>
    <t>4.4.1</t>
  </si>
  <si>
    <t>4.4.2</t>
  </si>
  <si>
    <t>4.5.1</t>
  </si>
  <si>
    <t>6.8</t>
  </si>
  <si>
    <t>6.9</t>
  </si>
  <si>
    <t>6.10</t>
  </si>
  <si>
    <t>6.11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</si>
  <si>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</si>
  <si>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</si>
  <si>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</si>
  <si>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</si>
  <si>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</si>
  <si>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</si>
  <si>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</si>
  <si>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</si>
  <si>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</si>
  <si>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</si>
  <si>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</si>
  <si>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8.5</t>
  </si>
  <si>
    <t>8.2.1</t>
  </si>
  <si>
    <t>10.3</t>
  </si>
  <si>
    <t>Telha cumeeira para telha colonial</t>
  </si>
  <si>
    <t>ED-50692</t>
  </si>
  <si>
    <t>13.0</t>
  </si>
  <si>
    <t>13.1</t>
  </si>
  <si>
    <t>13.2</t>
  </si>
  <si>
    <t>14.0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</si>
  <si>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</si>
  <si>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</si>
  <si>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</si>
  <si>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</si>
  <si>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</si>
  <si>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</si>
  <si>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</si>
  <si>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</si>
  <si>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</si>
  <si>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15.0</t>
  </si>
  <si>
    <t>15.1</t>
  </si>
  <si>
    <t>15.2</t>
  </si>
  <si>
    <t>15.3</t>
  </si>
  <si>
    <t>15.4</t>
  </si>
  <si>
    <t>15.5</t>
  </si>
  <si>
    <t>PRATELEIRA DE GRANITO SÃO GABRIEL, E = 2 CM, APOIADA
EM CONSOLE DE METALON 20 X 30 MM</t>
  </si>
  <si>
    <t>16.0</t>
  </si>
  <si>
    <t>16.1</t>
  </si>
  <si>
    <t>BANCADAS / DIVISÓRIAS</t>
  </si>
  <si>
    <t>ED-51003</t>
  </si>
  <si>
    <t>ED-50998</t>
  </si>
  <si>
    <t>SOLEIRA DE GRANITO SÃO GABRIEL E = 3 CM</t>
  </si>
  <si>
    <t>PEITORIL DE GRANITO SÃO GABRIEL E = 3 CM</t>
  </si>
  <si>
    <t>DIVISÓRIA EM GRANITO CINZA ANDORINHA E = 3 CM, INCLUSIVE
FERRAGENS EM LATÃO CROMADO</t>
  </si>
  <si>
    <t>ED-48533</t>
  </si>
  <si>
    <t>16.2</t>
  </si>
  <si>
    <t>16.3</t>
  </si>
  <si>
    <t>16.4</t>
  </si>
  <si>
    <t>16.5</t>
  </si>
  <si>
    <t>TESOURAS</t>
  </si>
  <si>
    <t>COBERTURA</t>
  </si>
  <si>
    <t>CAIXA D´ÁGUA DE POLIETILENO, CAPACIDADE DE 1.000L,
INCLUSIVE TAMPA, TORNEIRA DE BOIA, EXTRAVASOR, TUBO DE
LIMPEZA E ACESSÓRIOS, EXCLUSIVE TUBULAÇÃO DE ENTRADA/
SAÍDA DE ÁGUA</t>
  </si>
  <si>
    <t>ED-49936</t>
  </si>
  <si>
    <t>BANCADA EM GRANITO, SÃO GABRIEL, ESP. 2CM,
ACABAMENTO POLIDO, APOIADA EM CONSOLE DE METALON (
50X30)MM, EXCLUSIVE RODABANCA/FRONTÃO, TESTEIRA/FAIXA,
FURO EM BANCADA, CUBA METÁLICA, VÁLVULA, SIFÃO,
TORNEIRA E ENGATE FLEXÍVEL</t>
  </si>
  <si>
    <t>ED-21631</t>
  </si>
  <si>
    <t>TORNEIRA METÁLICA PARA TANQUE, ACABAMENTO CROMADO,
BICO COM ROSCA, INCLUSIVE FORNECIMENTO E INSTALAÇÃO</t>
  </si>
  <si>
    <t>ED-50331</t>
  </si>
  <si>
    <t>TORNEIRA METÁLICA PARA PIA, BICA MÓVEL, ABERTURA 1/4 DE
VOLTA, ACABAMENTO CROMADO, COM AREJADOR, APLICAÇÃO
DE MESA, INCLUSIVE ENGATE FLEXÍVEL METÁLICO,
FORNECIMENTO E INSTALAÇÃO</t>
  </si>
  <si>
    <t>ED-50324</t>
  </si>
  <si>
    <t>14.10</t>
  </si>
  <si>
    <t>14.11</t>
  </si>
  <si>
    <t>TANQUE DE POLIPROPILENO, CAPACIDADE 15 LITROS, INCLUSIVE
ACESSÓRIOS DE FIXAÇÃO, VÁLVULA DE ESCOAMENTO DE
PLÁSTICO (PVC) NA COR BRANCA, SIFÃO DE PLÁSTICO (PVC) TIPO
COPO NA COR BRANCA, FORNECIMENTO E INSTALAÇÃO,
EXCLUSIVE TORNEIRA</t>
  </si>
  <si>
    <t>ED-50293</t>
  </si>
  <si>
    <t>MÊS 5</t>
  </si>
  <si>
    <t>MÊS 6</t>
  </si>
  <si>
    <t>ENGRADAMENTO PARA TELHADO DE FIBROCIMENTO ONDULADA</t>
  </si>
  <si>
    <t>ED-48408</t>
  </si>
  <si>
    <t>7.16</t>
  </si>
  <si>
    <t>COBERTURA EM TELHA DE FIBROCIMENTO ONDULADA E = 5 MM</t>
  </si>
  <si>
    <t>ED-48423</t>
  </si>
  <si>
    <t xml:space="preserve">VIDRO TEMPERADO TRANSPARENTE INCOLOR, ESP. 8MM,
INCLUSIVE FIXAÇÃO E VEDAÇÃO COM GUARNIÇÃO/GAXETA DE
BORRACHA NEOPRENE, FORNECIMENTO E INSTALAÇÃO,
EXCLUSIVE CAIXILHO/PERFIL
</t>
  </si>
  <si>
    <t>ED-51159</t>
  </si>
  <si>
    <t>16.6</t>
  </si>
  <si>
    <r>
      <t xml:space="preserve">Peça de madeira roliça eucalipto tratado, dimensões de 15 cm de diâmetro </t>
    </r>
    <r>
      <rPr>
        <b/>
        <sz val="10"/>
        <rFont val="Arial"/>
        <family val="2"/>
      </rPr>
      <t>3,5 metros</t>
    </r>
  </si>
  <si>
    <t>4.1.4</t>
  </si>
  <si>
    <t>4.5.2</t>
  </si>
  <si>
    <t>4.5.3</t>
  </si>
  <si>
    <t>4.5.4</t>
  </si>
  <si>
    <t>4.6</t>
  </si>
  <si>
    <t>4.6.1</t>
  </si>
  <si>
    <t>Coifa de centro em aço inox de 1200x900x600</t>
  </si>
  <si>
    <t>Duto de ligação 1000x0,80mm</t>
  </si>
  <si>
    <t>Chapeu chines em alumínio</t>
  </si>
  <si>
    <t>16.7</t>
  </si>
  <si>
    <t>16.8</t>
  </si>
  <si>
    <t xml:space="preserve">Exaustor mecânico  </t>
  </si>
  <si>
    <t>Fogão Industrial Super 6 Bocas 3 Simples 3 Duplas, com Forno  Baixa Pressão</t>
  </si>
  <si>
    <t>MÊS 7</t>
  </si>
  <si>
    <t>MÊS 8</t>
  </si>
  <si>
    <r>
      <t xml:space="preserve">LOCAL: </t>
    </r>
    <r>
      <rPr>
        <b/>
        <sz val="10"/>
        <color rgb="FF002060"/>
        <rFont val="Arial"/>
        <family val="2"/>
      </rPr>
      <t>AVENIDA DIAMANTINA, Nº 1.108, CENTRO, CIDADE</t>
    </r>
    <r>
      <rPr>
        <b/>
        <sz val="10"/>
        <color theme="3"/>
        <rFont val="Arial"/>
        <family val="2"/>
      </rPr>
      <t xml:space="preserve"> DE COUTO DE MAGALHÃES DE MINAS</t>
    </r>
  </si>
  <si>
    <r>
      <rPr>
        <b/>
        <sz val="10"/>
        <color theme="1"/>
        <rFont val="Arial"/>
        <family val="2"/>
      </rPr>
      <t>OBRA:</t>
    </r>
    <r>
      <rPr>
        <b/>
        <sz val="10"/>
        <color theme="3"/>
        <rFont val="Arial"/>
        <family val="2"/>
      </rPr>
      <t xml:space="preserve"> CONSTRUÇÃO DE ESPAÇO MULTIUSO CULTURAL</t>
    </r>
  </si>
  <si>
    <r>
      <t xml:space="preserve">REGIÃO/MÊS DE REFERÊNCIA: </t>
    </r>
    <r>
      <rPr>
        <b/>
        <sz val="10"/>
        <color theme="3"/>
        <rFont val="Arial"/>
        <family val="2"/>
      </rPr>
      <t>SINAPI-MG 04/2023 / SEINFRA-MG JEQU. E MUCURI 01/2023.</t>
    </r>
  </si>
  <si>
    <r>
      <t>PRAZO DE EXECUÇÃO: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002060"/>
        <rFont val="Arial"/>
        <family val="2"/>
      </rPr>
      <t>8 MESES</t>
    </r>
  </si>
  <si>
    <r>
      <t>DATA: 05</t>
    </r>
    <r>
      <rPr>
        <b/>
        <sz val="10"/>
        <color theme="3" tint="-0.249977111117893"/>
        <rFont val="Arial"/>
        <family val="2"/>
      </rPr>
      <t>/07/2023</t>
    </r>
  </si>
  <si>
    <t>8.2.2</t>
  </si>
  <si>
    <t>DISJUNTOR TIPO DIN/IEC, BIPOLAR DE 6 ATE 32A</t>
  </si>
  <si>
    <t>Couto de Magalhães de Minas-MG, 05 de julho de 2023.</t>
  </si>
  <si>
    <t>CÁLCULO DO BDI SERVIÇOS</t>
  </si>
  <si>
    <t>VALORES ADOTADOS:</t>
  </si>
  <si>
    <t>AC</t>
  </si>
  <si>
    <t>ADMINISTRAÇÃO CENTRAL</t>
  </si>
  <si>
    <t>DF</t>
  </si>
  <si>
    <t>DESPESAS FINANCEIRAS</t>
  </si>
  <si>
    <t>S G R</t>
  </si>
  <si>
    <t>SEGUROS, GARANTIAS E RISCO</t>
  </si>
  <si>
    <t>ISS (PMG)</t>
  </si>
  <si>
    <t>%</t>
  </si>
  <si>
    <t>I</t>
  </si>
  <si>
    <t>PIS</t>
  </si>
  <si>
    <t>COFINS</t>
  </si>
  <si>
    <t xml:space="preserve">TOTAL "I" = </t>
  </si>
  <si>
    <t>E</t>
  </si>
  <si>
    <t>CPRB</t>
  </si>
  <si>
    <t>L</t>
  </si>
  <si>
    <t>LUCRO</t>
  </si>
  <si>
    <t>FÓRMULA DE CÁLCULO:</t>
  </si>
  <si>
    <t xml:space="preserve">BDI = </t>
  </si>
  <si>
    <t>(1 + ( AC + S + G + R)) X (1 + DF) X (1 + L)</t>
  </si>
  <si>
    <t>-   1</t>
  </si>
  <si>
    <t>( 1 - ( I + CPRB))</t>
  </si>
  <si>
    <t>CÁLCULO:</t>
  </si>
  <si>
    <t>BDI =</t>
  </si>
  <si>
    <t>=</t>
  </si>
  <si>
    <t>O VALOR DO BDI ADOTADO É DE :</t>
  </si>
  <si>
    <r>
      <rPr>
        <sz val="10"/>
        <color rgb="FF000000"/>
        <rFont val="Calibri"/>
        <family val="2"/>
      </rPr>
      <t xml:space="preserve">Os cálculos estão em conformidade ao </t>
    </r>
    <r>
      <rPr>
        <b/>
        <sz val="10"/>
        <color rgb="FF000000"/>
        <rFont val="Calibri"/>
        <family val="2"/>
      </rPr>
      <t>" CONFORME ACÓRDÃO Nº 2622/13 e LEI Nº 13.161 DE 31/08/15) "</t>
    </r>
  </si>
  <si>
    <t>MEMORIAL DE CÁLCULO</t>
  </si>
  <si>
    <t>DATA: 05/07/2023</t>
  </si>
  <si>
    <t>01 UNIDADE INSTALADA NA FRENTE DO TERRENO, VOLTADA PARA A AVENIDA DIAMANTINA</t>
  </si>
  <si>
    <t>(35,15 M DE COMPRIMENTO X 2) + (16,30 M LARGURA X 2)</t>
  </si>
  <si>
    <r>
      <t>[SAPATAS PARA PILARES (0,80M LARGURA X 0,80M COMPRIMENTO X 0,80M PROFUNDIDADE) X 30 UNIDADES]+[(31,96+31,96+10,3+10,3+5,51+5,51+5,51+4,46+2,46+3,15+3,15+3,3+1,4+1,6=</t>
    </r>
    <r>
      <rPr>
        <b/>
        <sz val="10"/>
        <rFont val="Arial"/>
        <family val="2"/>
      </rPr>
      <t>120,57 M/L BALDRAM</t>
    </r>
    <r>
      <rPr>
        <sz val="10"/>
        <rFont val="Arial"/>
        <family val="2"/>
      </rPr>
      <t>E)X 0,30M LARGURA ESCAVAÇÃO X 0,30M PROFUNDIDADE ESCAVAÇÃO]</t>
    </r>
  </si>
  <si>
    <t>[SAPATAS PARA PILARES (0,80M LARGURA X 0,80M COMPRIMENTO) X 30 UNIDADES][(31,96+31,96+10,3+10,3+5,51+5,51+5,51+4,46+2,46+3,15+3,15+3,3+1,4+1,6=120,57 M/L BALDRAME)X 0,30M LARGURA ESCAVAÇÃO</t>
  </si>
  <si>
    <t>[SAPATAS PARA PILARES (0,80M LARGURA X 0,80M COMPRIMENTO X 0,10M ALTURA) X 30 UNIDADES]</t>
  </si>
  <si>
    <t>120,57 M/L BALDRAMES X 4 BARRAS X 0,395 KG/M BARRA 8.0MM</t>
  </si>
  <si>
    <t>[CONCRETAGEM SAPATAS PARA PILARES (0,80M LARGURA X 0,80M COMPRIMENTO X 0,80M ALTURA) X 30 UNIDADES]</t>
  </si>
  <si>
    <t>0,30 M LATERAL DIREITA + 0,30 M LATERAL ESQUERDA X 120,57 M/L BALDRAMES</t>
  </si>
  <si>
    <t>120,57 M/L BALDRAMES X 0,25M LARGURA BALDRAME X 0,25 ALTURA BALDRAME</t>
  </si>
  <si>
    <t xml:space="preserve"> 4 UNIDADES DE PILARES NA DIREÇÃO LARGURA DA EDIFICAÇÃO X 2 LATERAIS</t>
  </si>
  <si>
    <t xml:space="preserve"> 11 UNIDADES DE PILARES NA DIREÇÃO COMPRIMENTO DA EDIFICAÇÃO X 2 LATERAIS</t>
  </si>
  <si>
    <t>(15 UNIDADES DE PILARES DA VARANDA NA DIREÇÃO COMPRIMENTO DA EDIFICAÇÃO X 2 LATERAIS + 6 UNIDADES DE PILARES DA VARANDA NA DIREÇÃO LARGURA DA EDIFICAÇÃO)</t>
  </si>
  <si>
    <t>1 CAMINHÃO-FRETE DE ACORDO MERCADO</t>
  </si>
  <si>
    <t>(10,00 LARGURA X 2 LATERAIS)+(25,00 COMPRIMENTO X 2 LATERAIS)= 120,00 M/L CINTAMENTO</t>
  </si>
  <si>
    <t>14 PILARES X 0,30M X 2 UNIDADES X 3,00 ALTURA</t>
  </si>
  <si>
    <t>[(COMPRIMENTO DE CADA BARRA NA ESTEIRA 0,70 M +0,12 DOBRA + 0,12 DOBRA=0,94 M) X (7 BARRAS NA DIREÇÃO X + 7 BARRAS NA DIREÇÃO Y)]X 30 UNIDADES X 0,395 KG/M BARRA 8.0MM</t>
  </si>
  <si>
    <t>[(COMPRIMENTO DE CADA BARRA NA ESTEIRA 0,70 M +0,12 DOBRA + 0,12 DOBRA=0,94 M) X (7 BARRAS NA DIREÇÃO X + 7 BARRAS NA DIREÇÃO Y)]X 14 UNIDADES X 0,395 KG/M BARRA 8.0MM</t>
  </si>
  <si>
    <t>DIMENSÃO DOS PILARES (0,25M COMPRIMENTO X 0,15M LARGURA) X 14 UNIDADES X 3,00 M ALTURA</t>
  </si>
  <si>
    <r>
      <t xml:space="preserve">VIGAS (7,00+7,00+7,00+5,51+5,51+5,51+4,46+2,46+3,15+3,15+3,3= </t>
    </r>
    <r>
      <rPr>
        <b/>
        <sz val="10"/>
        <rFont val="Arial"/>
        <family val="2"/>
      </rPr>
      <t>54,05 M/L</t>
    </r>
    <r>
      <rPr>
        <sz val="10"/>
        <rFont val="Arial"/>
        <family val="2"/>
      </rPr>
      <t>) X0,3M ALTURA X 0,15M LARGURA</t>
    </r>
  </si>
  <si>
    <r>
      <t>VIGAS (7,00+7,00+7,00+5,51+5,51+5,51+4,46+2,46+3,15+3,15+3,3=</t>
    </r>
    <r>
      <rPr>
        <b/>
        <sz val="10"/>
        <rFont val="Arial"/>
        <family val="2"/>
      </rPr>
      <t xml:space="preserve"> 54,05 M/L</t>
    </r>
    <r>
      <rPr>
        <sz val="10"/>
        <rFont val="Arial"/>
        <family val="2"/>
      </rPr>
      <t>) X0,3M ALTURA X2 UNIDADES</t>
    </r>
  </si>
  <si>
    <t>19 JANELAS DE 2,00 M DO SALÃO</t>
  </si>
  <si>
    <t>VERGA PRÉ-MOLDADA PARA JANELAS COM ATÉ 1,5 M DE VÃO.</t>
  </si>
  <si>
    <t>6 JANELAS DE 1,00M + 2 JANELAS DE 1,50 M+ 1 JANELA 1,30  + 1 JANELA DE 0,60 M</t>
  </si>
  <si>
    <t>VIDE ITEM 4.5.2 X 0,10M ALTURA X 0,15M LARGURA</t>
  </si>
  <si>
    <t>VIDE ITEM 4.5.1 X 0,10M ALTURA X 0,15M LARGURA</t>
  </si>
  <si>
    <t>LAJE PRÉ-MOLDADA UNIDIRECIONAL COM ENCHIMENTO EM
POLIESTIRENO EXPANDIDO (EPS), CAPEAMENTO DE 4CM,
SOBRECARGA DE 100KG/M2, ALTURA TOTAL DE 11CM E VÃO
LIVRE MÁXIMO DE 3M, INCLUSIVE CONCRETO ESTRUTURAL,
USINADO BOMBEADO COM FCK DE 20MPA, EXCLUSIVE TELA
ARMADA E CIMBRAMENTO</t>
  </si>
  <si>
    <t>ED-50252</t>
  </si>
  <si>
    <t>LAJE PRÉ-MOLDADA UNIDIRECIONAL COM ENCHIMENTO EM
POLIESTIRENO EXPANDIDO (EPS), CAPEAMENTO DE 4CM,
SOBRECARGA DE 100KG/M2, ALTURA TOTAL DE 11CM E VÃO
LIVRE MÁXIMO DE 3M, INCLUSIVE CONCRETO ESTRUTURAL,
USINADO BOMBEADO COM FCK DE 20MPA</t>
  </si>
  <si>
    <t xml:space="preserve">71,69 M² DE LAJE </t>
  </si>
  <si>
    <t>CIMBRAMENTO PARA LAJE PRÉ-MOLDADA COM ESCORAMENTO
METÁLICO, TIPO "A", ALTURA DE (200 ATÉ 310)CM, INCLUSIVE
DESCARGA, MONTAGEM, DESMONTAGEM E CARGA</t>
  </si>
  <si>
    <t>ED-19637</t>
  </si>
  <si>
    <t>4.6.2</t>
  </si>
  <si>
    <t>m²xmês</t>
  </si>
  <si>
    <t>71,69 M² DE LAJE X 1 MÊS</t>
  </si>
  <si>
    <t xml:space="preserve">477,00 M² DE ALVENARIA X RENDIMENTO 17,37 TIJOLOS/M² </t>
  </si>
  <si>
    <t>2 CAMINHÕES</t>
  </si>
  <si>
    <t>RENDIMENTO DE 0,012936 M³/M² X 477,00 M²</t>
  </si>
  <si>
    <t>RENDIMENTO DE 0,7189542 HORAS DE PEDREIRO /M² X 477,00 M²</t>
  </si>
  <si>
    <t>PORTA METÁLICA 80 X 210 CM , INCLUINDO FECHADURA TIPO
EXTERNA E FERRAGENS</t>
  </si>
  <si>
    <t xml:space="preserve">PORTA METÁLICA 70 X 210 CM , INCLUINDO FECHADURA TIPO
EXTERNA E FERRAGENS, </t>
  </si>
  <si>
    <t>PORTA METÁLICA 80 X 210 CM , INCLUINDO FECHADURA TIPO
EXTERNA E FERRAGENS.</t>
  </si>
  <si>
    <t>PORTA METÁLICA 70 X 210 CM , INCLUINDO FECHADURA TIPO
EXTERNA E FERRAGENS.</t>
  </si>
  <si>
    <t xml:space="preserve"> 1 BANHEIRO MASC. 1 BANHEIRO FEM.</t>
  </si>
  <si>
    <t>PASSA PRATO COZINHA</t>
  </si>
  <si>
    <t>JANELAS DO SALÃO</t>
  </si>
  <si>
    <t>COZINHA</t>
  </si>
  <si>
    <t xml:space="preserve"> 2 BANHEIRO MASC, 2 BANHEIRO FEM, </t>
  </si>
  <si>
    <t>COZINHA, 1 D.M.L, 1 DESPENSA</t>
  </si>
  <si>
    <t>1 CAMARIM</t>
  </si>
  <si>
    <t>(VARANDA 12 UND X 36,00 M=437 M/L X 2 LATERAIS DIREITA E ESQUERDA) + (VARANDA FUNDOS 140,48)+( TELHADO SALÃO16 UND X 26,00 M= 416 M/L X 2 LATERAIS DIREITA E ESQUERDA) + ( LANTERNIM 9 UND X 26,00 M=234,00 M/L X 2 LATERAIS DIREITA E ESQUERDA)</t>
  </si>
  <si>
    <t>(VARANDA 36,00 M /0,50 ESPAÇAMENTO X 3,66 COMPRIMENTO=266 M/L X 2 LATERAIS DIREITA E ESQUERDA) + (VARANDA FUNDOS 3,73m x 18 und + 21,34)+( TELHADO SALÃO 26,00 M /0,50 ESPAÇAMENTO X 5,28 COMPRIMENTO= 275 M/L X 2 LATERAIS DIREITA E ESQUERDA) + ( LANTERNIM 26,00 M /0,50 ESPAÇAMENTO X 2,46 COMPRIMENTO= 128 M/L X 2 LATERAIS DIREITA E ESQUERDA)</t>
  </si>
  <si>
    <t>35,5 M/L X 8 UNIDADES</t>
  </si>
  <si>
    <t xml:space="preserve"> 9 LINHAS DAS TESOURAS</t>
  </si>
  <si>
    <t>EMPENAS DAS TESOURAS</t>
  </si>
  <si>
    <t>DEMAIS COMPONENTES TESOURAS</t>
  </si>
  <si>
    <t>690,5 M² DE COBERTURA X RENDIMENTO DE 26,5 UNIDADES/M²</t>
  </si>
  <si>
    <t>(4,88 M ESPIGÃO X 2 UNIDADES) + 26 M/L CUMEEIRA LANTERNIM</t>
  </si>
  <si>
    <t>VIDE ITEM 4.6.1</t>
  </si>
  <si>
    <t>VIDEM ITEM 7.12</t>
  </si>
  <si>
    <t>RENDIMENTO DE 0,0,3594771 HORAS DE SERVENTE /M² X 477,00 M²</t>
  </si>
  <si>
    <t>RENDIMENTO DE 0,75 HORAS DE TELHADISTA /M² X 690,00 M²</t>
  </si>
  <si>
    <t>RENDIMENTO DE 1,5 HORAS DE AJUDANTE /M² X 690,00 M²</t>
  </si>
  <si>
    <t>ESTIMATIVA 2,5 MESES TRABALHO</t>
  </si>
  <si>
    <r>
      <t>(</t>
    </r>
    <r>
      <rPr>
        <b/>
        <sz val="10"/>
        <rFont val="Arial"/>
        <family val="2"/>
      </rPr>
      <t xml:space="preserve">7 TOMADAS </t>
    </r>
    <r>
      <rPr>
        <sz val="10"/>
        <rFont val="Arial"/>
        <family val="2"/>
      </rPr>
      <t>MÉDIAS NA COZINHA, 4 TUE 2 EM 220V E 3 TUG EM 127V) + (</t>
    </r>
    <r>
      <rPr>
        <b/>
        <sz val="10"/>
        <rFont val="Arial"/>
        <family val="2"/>
      </rPr>
      <t>2 TOMADAS</t>
    </r>
    <r>
      <rPr>
        <sz val="10"/>
        <rFont val="Arial"/>
        <family val="2"/>
      </rPr>
      <t xml:space="preserve"> BAIXAS NO D.M.L, 1 TUE EM 220V E 1 TUG EM 127V) + (</t>
    </r>
    <r>
      <rPr>
        <b/>
        <sz val="10"/>
        <rFont val="Arial"/>
        <family val="2"/>
      </rPr>
      <t xml:space="preserve">1 TOMADA </t>
    </r>
    <r>
      <rPr>
        <sz val="10"/>
        <rFont val="Arial"/>
        <family val="2"/>
      </rPr>
      <t>MÉDIA NA DESPENSA, 1 TUG EM 127V) + (</t>
    </r>
    <r>
      <rPr>
        <b/>
        <sz val="10"/>
        <rFont val="Arial"/>
        <family val="2"/>
      </rPr>
      <t>14  TOMADAS</t>
    </r>
    <r>
      <rPr>
        <sz val="10"/>
        <rFont val="Arial"/>
        <family val="2"/>
      </rPr>
      <t xml:space="preserve"> BAIXAS NO SALÃO, 4 TUE EM 220V NO PALCO E 8 TUG EM 127V DISTRIBUIDAS NAS PAREDES) + (</t>
    </r>
    <r>
      <rPr>
        <b/>
        <sz val="10"/>
        <rFont val="Arial"/>
        <family val="2"/>
      </rPr>
      <t>3 TOMADAS</t>
    </r>
    <r>
      <rPr>
        <sz val="10"/>
        <rFont val="Arial"/>
        <family val="2"/>
      </rPr>
      <t xml:space="preserve"> NO CAMARIM,  3 TUG EM 127V, 2 BAIXAS NO CAMARIM E 1 MÉDIA NO BANHEIRO) +( </t>
    </r>
    <r>
      <rPr>
        <b/>
        <sz val="10"/>
        <rFont val="Arial"/>
        <family val="2"/>
      </rPr>
      <t>6 TOMADAS</t>
    </r>
    <r>
      <rPr>
        <sz val="10"/>
        <rFont val="Arial"/>
        <family val="2"/>
      </rPr>
      <t xml:space="preserve"> BAIXAS DISTRIBUIDAS NAS VARANDAS, 2 TUE EM 220V E 4 TUG EM 127V)</t>
    </r>
  </si>
  <si>
    <r>
      <rPr>
        <b/>
        <sz val="10"/>
        <rFont val="Arial"/>
        <family val="2"/>
      </rPr>
      <t>1 INTERRUPTOR</t>
    </r>
    <r>
      <rPr>
        <sz val="10"/>
        <rFont val="Arial"/>
        <family val="2"/>
      </rPr>
      <t xml:space="preserve"> NO BANHEIRO DO CAMARIM +</t>
    </r>
    <r>
      <rPr>
        <b/>
        <sz val="10"/>
        <rFont val="Arial"/>
        <family val="2"/>
      </rPr>
      <t xml:space="preserve"> 1 INTERRUPTOR</t>
    </r>
    <r>
      <rPr>
        <sz val="10"/>
        <rFont val="Arial"/>
        <family val="2"/>
      </rPr>
      <t xml:space="preserve"> NO CAMARIM + </t>
    </r>
    <r>
      <rPr>
        <b/>
        <sz val="10"/>
        <rFont val="Arial"/>
        <family val="2"/>
      </rPr>
      <t xml:space="preserve">1 INTERRUPTOR </t>
    </r>
    <r>
      <rPr>
        <sz val="10"/>
        <rFont val="Arial"/>
        <family val="2"/>
      </rPr>
      <t xml:space="preserve">NA COZINHA + </t>
    </r>
    <r>
      <rPr>
        <b/>
        <sz val="10"/>
        <rFont val="Arial"/>
        <family val="2"/>
      </rPr>
      <t>1 INTERRUPTOR</t>
    </r>
    <r>
      <rPr>
        <sz val="10"/>
        <rFont val="Arial"/>
        <family val="2"/>
      </rPr>
      <t xml:space="preserve"> NO BANHEIRO MASCULINO + </t>
    </r>
    <r>
      <rPr>
        <b/>
        <sz val="10"/>
        <rFont val="Arial"/>
        <family val="2"/>
      </rPr>
      <t>1 INTERRUPTOR</t>
    </r>
    <r>
      <rPr>
        <sz val="10"/>
        <rFont val="Arial"/>
        <family val="2"/>
      </rPr>
      <t xml:space="preserve"> NO BANHEIRO FEMININO + </t>
    </r>
    <r>
      <rPr>
        <b/>
        <sz val="10"/>
        <rFont val="Arial"/>
        <family val="2"/>
      </rPr>
      <t>1 INTERRUPTOR</t>
    </r>
    <r>
      <rPr>
        <sz val="10"/>
        <rFont val="Arial"/>
        <family val="2"/>
      </rPr>
      <t xml:space="preserve"> NO D.M.L + </t>
    </r>
    <r>
      <rPr>
        <b/>
        <sz val="10"/>
        <rFont val="Arial"/>
        <family val="2"/>
      </rPr>
      <t>1 INTERRUPTOR</t>
    </r>
    <r>
      <rPr>
        <sz val="10"/>
        <rFont val="Arial"/>
        <family val="2"/>
      </rPr>
      <t xml:space="preserve"> NA DESPENSA + </t>
    </r>
    <r>
      <rPr>
        <b/>
        <sz val="10"/>
        <rFont val="Arial"/>
        <family val="2"/>
      </rPr>
      <t>4 INTERRUPTORES</t>
    </r>
    <r>
      <rPr>
        <sz val="10"/>
        <rFont val="Arial"/>
        <family val="2"/>
      </rPr>
      <t xml:space="preserve"> PARALELOS DUPLOS NO SALÃO + </t>
    </r>
    <r>
      <rPr>
        <b/>
        <sz val="10"/>
        <rFont val="Arial"/>
        <family val="2"/>
      </rPr>
      <t>3 INTERRUPTORES</t>
    </r>
    <r>
      <rPr>
        <sz val="10"/>
        <rFont val="Arial"/>
        <family val="2"/>
      </rPr>
      <t xml:space="preserve"> DUPLOS PARALELOS NAS VARANDAS</t>
    </r>
  </si>
  <si>
    <r>
      <rPr>
        <b/>
        <sz val="10"/>
        <rFont val="Arial"/>
        <family val="2"/>
      </rPr>
      <t>1 LUMINÁRIA</t>
    </r>
    <r>
      <rPr>
        <sz val="10"/>
        <rFont val="Arial"/>
        <family val="2"/>
      </rPr>
      <t xml:space="preserve"> NO BANHEIRO DO CAMARIM +</t>
    </r>
    <r>
      <rPr>
        <b/>
        <sz val="10"/>
        <rFont val="Arial"/>
        <family val="2"/>
      </rPr>
      <t xml:space="preserve"> 2 ILUMINÁRIAS</t>
    </r>
    <r>
      <rPr>
        <sz val="10"/>
        <rFont val="Arial"/>
        <family val="2"/>
      </rPr>
      <t xml:space="preserve"> NO CAMARIM +</t>
    </r>
    <r>
      <rPr>
        <b/>
        <sz val="10"/>
        <rFont val="Arial"/>
        <family val="2"/>
      </rPr>
      <t xml:space="preserve"> 2 LUMINÁRIAS</t>
    </r>
    <r>
      <rPr>
        <sz val="10"/>
        <rFont val="Arial"/>
        <family val="2"/>
      </rPr>
      <t xml:space="preserve"> NA COZINHA + </t>
    </r>
    <r>
      <rPr>
        <b/>
        <sz val="10"/>
        <rFont val="Arial"/>
        <family val="2"/>
      </rPr>
      <t>2 LUMINÁRIAS</t>
    </r>
    <r>
      <rPr>
        <sz val="10"/>
        <rFont val="Arial"/>
        <family val="2"/>
      </rPr>
      <t xml:space="preserve"> NO BANHEIRO MASCULINO +</t>
    </r>
    <r>
      <rPr>
        <b/>
        <sz val="10"/>
        <rFont val="Arial"/>
        <family val="2"/>
      </rPr>
      <t xml:space="preserve"> 2 LUMINÁRIAS</t>
    </r>
    <r>
      <rPr>
        <sz val="10"/>
        <rFont val="Arial"/>
        <family val="2"/>
      </rPr>
      <t xml:space="preserve"> NO BANHEIRO FEMININO + </t>
    </r>
    <r>
      <rPr>
        <b/>
        <sz val="10"/>
        <rFont val="Arial"/>
        <family val="2"/>
      </rPr>
      <t>1 LUMINÁRIA</t>
    </r>
    <r>
      <rPr>
        <sz val="10"/>
        <rFont val="Arial"/>
        <family val="2"/>
      </rPr>
      <t xml:space="preserve"> NO D.M.L +</t>
    </r>
    <r>
      <rPr>
        <b/>
        <sz val="10"/>
        <rFont val="Arial"/>
        <family val="2"/>
      </rPr>
      <t xml:space="preserve"> 1 LUMINÁRIA</t>
    </r>
    <r>
      <rPr>
        <sz val="10"/>
        <rFont val="Arial"/>
        <family val="2"/>
      </rPr>
      <t xml:space="preserve"> NA DESPENSA + </t>
    </r>
    <r>
      <rPr>
        <b/>
        <sz val="10"/>
        <rFont val="Arial"/>
        <family val="2"/>
      </rPr>
      <t>12 LUMINÁRIA</t>
    </r>
    <r>
      <rPr>
        <sz val="10"/>
        <rFont val="Arial"/>
        <family val="2"/>
      </rPr>
      <t xml:space="preserve"> NO SALÃO + 1</t>
    </r>
    <r>
      <rPr>
        <b/>
        <sz val="10"/>
        <rFont val="Arial"/>
        <family val="2"/>
      </rPr>
      <t>2 LUMINÁRIAS</t>
    </r>
    <r>
      <rPr>
        <sz val="10"/>
        <rFont val="Arial"/>
        <family val="2"/>
      </rPr>
      <t xml:space="preserve"> NAS VARANDAS</t>
    </r>
  </si>
  <si>
    <t>2 PRÓXIMO DO PALCO PARA CABEAMENTO DE SOM E TV</t>
  </si>
  <si>
    <t>1 QUADRO INSTALADO NO INTERIOR DA COZINHA E 1 NO CAMARIM</t>
  </si>
  <si>
    <t>1 DISJUNTOR TOMADAS TUE 220V COZINHA, 1 DISJUNTOR TOMADA TUE 220V CHUVEIRO BANHEIRO CAMARIM, 1 DISJUNTOR TOMADA TUE 220V CHUVEIRO BANHEIRO MASCULINO, 1 DISJUNTOR TOMADA TUE 220V CHUVEIRO BANHEIRO FEMININO, 1 DISJUNTOR TOMADA TUE 220V PALCO</t>
  </si>
  <si>
    <t>1 DISJUNTOR TOMADAS TUG SALÃO + CAMARIM,1 DISJUNTOR TOMADAS TUG VARANDAS, 1 DISJUNTOR ILUMINAÇÃO SALÃO + CAMARIM, 1 DISJUNTOR ILUMINAÇÃO VARANDAS, 1 DISJUNTOR TOMADAS TUG COZINHA E D.M.L E DESPENSA</t>
  </si>
  <si>
    <t>477,00 M² DE ALVENARIA X 2 FACES DAS PAREDES DE DENTRO E DE FORA</t>
  </si>
  <si>
    <t>220,16 M² DE EMBOÇO PARA ASSENTAMENTO DE REVESTIMENTO CERÂMICO</t>
  </si>
  <si>
    <t>VIDE 9.1 - 9.3</t>
  </si>
  <si>
    <t>VIDE 9.3</t>
  </si>
  <si>
    <t>PISO DE TODAS AS ÁRES DE CONVIVÊNCIA</t>
  </si>
  <si>
    <t>CAMADA DE REGULARIZAÇÃO COM ARGAMASSA, TRAÇO 1:3 (
CIMENTO E AREIA), ESP. 15MM, APLICAÇÃO MANUAL, PREPARO
MECÂNICO</t>
  </si>
  <si>
    <t>ED-13286</t>
  </si>
  <si>
    <t>10.5</t>
  </si>
  <si>
    <t>VIDE 10.1-10.5</t>
  </si>
  <si>
    <t>VIDE 10.2</t>
  </si>
  <si>
    <t>VIDE 10.2 - 10.5</t>
  </si>
  <si>
    <t>BANHEIRO FEMININO + BANHEIRO MASCULINO + COZINHA + D.M.L + DESPENSA + CAMARIM + BANHEIRO CAMARIM= 82,55 M²</t>
  </si>
  <si>
    <t>VIDE 9.2</t>
  </si>
  <si>
    <t>PORTAS DE MADEIRA</t>
  </si>
  <si>
    <t>TODAS AS MADEIRAS EXPOSTAS</t>
  </si>
  <si>
    <r>
      <t>(</t>
    </r>
    <r>
      <rPr>
        <b/>
        <sz val="10"/>
        <rFont val="Arial"/>
        <family val="2"/>
      </rPr>
      <t>BANHEIRO MASCULINO</t>
    </r>
    <r>
      <rPr>
        <sz val="10"/>
        <rFont val="Arial"/>
        <family val="2"/>
      </rPr>
      <t xml:space="preserve">=  3 MIGTÓRIO= 3 PONTOS, 2 VASOS= 2 PONTOS, 4 LAVATÓRIOS= 4 PONTOS, 1 CHUVEIRO= 1 PONTO, </t>
    </r>
    <r>
      <rPr>
        <b/>
        <sz val="10"/>
        <rFont val="Arial"/>
        <family val="2"/>
      </rPr>
      <t xml:space="preserve">TOTAL= 11 PONTOS) </t>
    </r>
    <r>
      <rPr>
        <sz val="10"/>
        <rFont val="Arial"/>
        <family val="2"/>
      </rPr>
      <t>+ (</t>
    </r>
    <r>
      <rPr>
        <b/>
        <sz val="10"/>
        <rFont val="Arial"/>
        <family val="2"/>
      </rPr>
      <t>BANHEIRO FEMININO</t>
    </r>
    <r>
      <rPr>
        <sz val="10"/>
        <rFont val="Arial"/>
        <family val="2"/>
      </rPr>
      <t xml:space="preserve">=  4 VASOS= 4 PONTOS, 4 LAVATÓRIOS= 4 PONTOS, 1 CHUVEIRO= 1 PONTO, TOTAL= </t>
    </r>
    <r>
      <rPr>
        <b/>
        <sz val="10"/>
        <rFont val="Arial"/>
        <family val="2"/>
      </rPr>
      <t>9 PONTOS</t>
    </r>
    <r>
      <rPr>
        <sz val="10"/>
        <rFont val="Arial"/>
        <family val="2"/>
      </rPr>
      <t xml:space="preserve">) + </t>
    </r>
    <r>
      <rPr>
        <b/>
        <sz val="10"/>
        <rFont val="Arial"/>
        <family val="2"/>
      </rPr>
      <t>COZINHA</t>
    </r>
    <r>
      <rPr>
        <sz val="10"/>
        <rFont val="Arial"/>
        <family val="2"/>
      </rPr>
      <t xml:space="preserve">= 1 PIA= </t>
    </r>
    <r>
      <rPr>
        <b/>
        <sz val="10"/>
        <rFont val="Arial"/>
        <family val="2"/>
      </rPr>
      <t>1 PONTO)</t>
    </r>
    <r>
      <rPr>
        <sz val="10"/>
        <rFont val="Arial"/>
        <family val="2"/>
      </rPr>
      <t xml:space="preserve"> + (</t>
    </r>
    <r>
      <rPr>
        <b/>
        <sz val="10"/>
        <rFont val="Arial"/>
        <family val="2"/>
      </rPr>
      <t>D.M.L</t>
    </r>
    <r>
      <rPr>
        <sz val="10"/>
        <rFont val="Arial"/>
        <family val="2"/>
      </rPr>
      <t>= 2 TANQUES=</t>
    </r>
    <r>
      <rPr>
        <b/>
        <sz val="10"/>
        <rFont val="Arial"/>
        <family val="2"/>
      </rPr>
      <t xml:space="preserve"> 2 PONTOS</t>
    </r>
    <r>
      <rPr>
        <sz val="10"/>
        <rFont val="Arial"/>
        <family val="2"/>
      </rPr>
      <t>) + (</t>
    </r>
    <r>
      <rPr>
        <b/>
        <sz val="10"/>
        <rFont val="Arial"/>
        <family val="2"/>
      </rPr>
      <t>BANHEIRO CAMARIM</t>
    </r>
    <r>
      <rPr>
        <sz val="10"/>
        <rFont val="Arial"/>
        <family val="2"/>
      </rPr>
      <t xml:space="preserve">= 1 PIA= 1 PONTO, 1 VASO= 1 PONTOTOTAL= </t>
    </r>
    <r>
      <rPr>
        <b/>
        <sz val="10"/>
        <rFont val="Arial"/>
        <family val="2"/>
      </rPr>
      <t>2 PONTOS</t>
    </r>
    <r>
      <rPr>
        <sz val="10"/>
        <rFont val="Arial"/>
        <family val="2"/>
      </rPr>
      <t>))</t>
    </r>
  </si>
  <si>
    <r>
      <t>(</t>
    </r>
    <r>
      <rPr>
        <b/>
        <sz val="10"/>
        <rFont val="Arial"/>
        <family val="2"/>
      </rPr>
      <t>BANHEIRO MASCULINO</t>
    </r>
    <r>
      <rPr>
        <sz val="10"/>
        <rFont val="Arial"/>
        <family val="2"/>
      </rPr>
      <t xml:space="preserve">=  3 MIGTÓRIO= 3 PONTOS, 4 LAVATÓRIOS= 4 PONTOS, 1 CHUVEIRO= 1 PONTO, 1 RALO= 1 PONTO, </t>
    </r>
    <r>
      <rPr>
        <b/>
        <sz val="10"/>
        <rFont val="Arial"/>
        <family val="2"/>
      </rPr>
      <t xml:space="preserve">TOTAL= 9 PONTOS) </t>
    </r>
    <r>
      <rPr>
        <sz val="10"/>
        <rFont val="Arial"/>
        <family val="2"/>
      </rPr>
      <t>+ (</t>
    </r>
    <r>
      <rPr>
        <b/>
        <sz val="10"/>
        <rFont val="Arial"/>
        <family val="2"/>
      </rPr>
      <t>BANHEIRO FEMININO</t>
    </r>
    <r>
      <rPr>
        <sz val="10"/>
        <rFont val="Arial"/>
        <family val="2"/>
      </rPr>
      <t xml:space="preserve">=  4 LAVATÓRIOS= 4 PONTOS, 1 CHUVEIRO= 1 PONTO, , 1 RALO= 1 PONTO, </t>
    </r>
    <r>
      <rPr>
        <b/>
        <sz val="10"/>
        <rFont val="Arial"/>
        <family val="2"/>
      </rPr>
      <t>TOTAL= 6 PONTOS</t>
    </r>
    <r>
      <rPr>
        <sz val="10"/>
        <rFont val="Arial"/>
        <family val="2"/>
      </rPr>
      <t xml:space="preserve">) + </t>
    </r>
    <r>
      <rPr>
        <b/>
        <sz val="10"/>
        <rFont val="Arial"/>
        <family val="2"/>
      </rPr>
      <t>COZINHA</t>
    </r>
    <r>
      <rPr>
        <sz val="10"/>
        <rFont val="Arial"/>
        <family val="2"/>
      </rPr>
      <t>= 1 PIA= 1 PONTO,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1 RALO= 1 PONTO, </t>
    </r>
    <r>
      <rPr>
        <b/>
        <sz val="10"/>
        <rFont val="Arial"/>
        <family val="2"/>
      </rPr>
      <t>TOTAL= 2 PONTOS)</t>
    </r>
    <r>
      <rPr>
        <sz val="10"/>
        <rFont val="Arial"/>
        <family val="2"/>
      </rPr>
      <t xml:space="preserve"> + (</t>
    </r>
    <r>
      <rPr>
        <b/>
        <sz val="10"/>
        <rFont val="Arial"/>
        <family val="2"/>
      </rPr>
      <t>D.M.L</t>
    </r>
    <r>
      <rPr>
        <sz val="10"/>
        <rFont val="Arial"/>
        <family val="2"/>
      </rPr>
      <t>= 2 TANQUES= 1 PONTO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 xml:space="preserve">1 RALO= 1 PONTO, </t>
    </r>
    <r>
      <rPr>
        <b/>
        <sz val="10"/>
        <rFont val="Arial"/>
        <family val="2"/>
      </rPr>
      <t>TOTAL= 2 PONTOS</t>
    </r>
    <r>
      <rPr>
        <sz val="10"/>
        <rFont val="Arial"/>
        <family val="2"/>
      </rPr>
      <t>) + (</t>
    </r>
    <r>
      <rPr>
        <b/>
        <sz val="10"/>
        <rFont val="Arial"/>
        <family val="2"/>
      </rPr>
      <t>BANHEIRO CAMARIM</t>
    </r>
    <r>
      <rPr>
        <sz val="10"/>
        <rFont val="Arial"/>
        <family val="2"/>
      </rPr>
      <t xml:space="preserve">= 1 PIA= 1 PONTO, , 1 RALO= 1 PONTO, TOTAL= </t>
    </r>
    <r>
      <rPr>
        <b/>
        <sz val="10"/>
        <rFont val="Arial"/>
        <family val="2"/>
      </rPr>
      <t>2 PONTOS</t>
    </r>
    <r>
      <rPr>
        <sz val="10"/>
        <rFont val="Arial"/>
        <family val="2"/>
      </rPr>
      <t>))</t>
    </r>
  </si>
  <si>
    <r>
      <t>(</t>
    </r>
    <r>
      <rPr>
        <b/>
        <sz val="10"/>
        <rFont val="Arial"/>
        <family val="2"/>
      </rPr>
      <t>BANHEIRO MASCULINO</t>
    </r>
    <r>
      <rPr>
        <sz val="10"/>
        <rFont val="Arial"/>
        <family val="2"/>
      </rPr>
      <t>=   2 VASOS</t>
    </r>
    <r>
      <rPr>
        <b/>
        <sz val="10"/>
        <rFont val="Arial"/>
        <family val="2"/>
      </rPr>
      <t xml:space="preserve">) </t>
    </r>
    <r>
      <rPr>
        <sz val="10"/>
        <rFont val="Arial"/>
        <family val="2"/>
      </rPr>
      <t>+ (</t>
    </r>
    <r>
      <rPr>
        <b/>
        <sz val="10"/>
        <rFont val="Arial"/>
        <family val="2"/>
      </rPr>
      <t>BANHEIRO FEMININO</t>
    </r>
    <r>
      <rPr>
        <sz val="10"/>
        <rFont val="Arial"/>
        <family val="2"/>
      </rPr>
      <t>=  4 VASOS</t>
    </r>
    <r>
      <rPr>
        <sz val="10"/>
        <rFont val="Arial"/>
        <family val="2"/>
      </rPr>
      <t>)</t>
    </r>
    <r>
      <rPr>
        <sz val="10"/>
        <rFont val="Arial"/>
        <family val="2"/>
      </rPr>
      <t>+ (</t>
    </r>
    <r>
      <rPr>
        <b/>
        <sz val="10"/>
        <rFont val="Arial"/>
        <family val="2"/>
      </rPr>
      <t>BANHEIRO CAMARIM</t>
    </r>
    <r>
      <rPr>
        <sz val="10"/>
        <rFont val="Arial"/>
        <family val="2"/>
      </rPr>
      <t>=  1 VASO</t>
    </r>
    <r>
      <rPr>
        <sz val="10"/>
        <rFont val="Arial"/>
        <family val="2"/>
      </rPr>
      <t>)</t>
    </r>
  </si>
  <si>
    <r>
      <t>(</t>
    </r>
    <r>
      <rPr>
        <b/>
        <sz val="10"/>
        <rFont val="Arial"/>
        <family val="2"/>
      </rPr>
      <t>BANHEIRO MASCULINO</t>
    </r>
    <r>
      <rPr>
        <sz val="10"/>
        <rFont val="Arial"/>
        <family val="2"/>
      </rPr>
      <t>= 4 LAVATÓRIOS</t>
    </r>
    <r>
      <rPr>
        <b/>
        <sz val="10"/>
        <rFont val="Arial"/>
        <family val="2"/>
      </rPr>
      <t xml:space="preserve">) </t>
    </r>
    <r>
      <rPr>
        <sz val="10"/>
        <rFont val="Arial"/>
        <family val="2"/>
      </rPr>
      <t>+ (</t>
    </r>
    <r>
      <rPr>
        <b/>
        <sz val="10"/>
        <rFont val="Arial"/>
        <family val="2"/>
      </rPr>
      <t>BANHEIRO FEMININO</t>
    </r>
    <r>
      <rPr>
        <sz val="10"/>
        <rFont val="Arial"/>
        <family val="2"/>
      </rPr>
      <t>= 4 LAVATÓRIOS) + (</t>
    </r>
    <r>
      <rPr>
        <b/>
        <sz val="10"/>
        <rFont val="Arial"/>
        <family val="2"/>
      </rPr>
      <t>BANHEIRO CAMARIM</t>
    </r>
    <r>
      <rPr>
        <sz val="10"/>
        <rFont val="Arial"/>
        <family val="2"/>
      </rPr>
      <t xml:space="preserve">= 1 PIA= </t>
    </r>
    <r>
      <rPr>
        <sz val="10"/>
        <rFont val="Arial"/>
        <family val="2"/>
      </rPr>
      <t>)</t>
    </r>
  </si>
  <si>
    <t>VIDE 14.2</t>
  </si>
  <si>
    <t>TANQUES D.M.L</t>
  </si>
  <si>
    <r>
      <t>(</t>
    </r>
    <r>
      <rPr>
        <b/>
        <sz val="10"/>
        <rFont val="Arial"/>
        <family val="2"/>
      </rPr>
      <t>BANHEIRO MASCULINO</t>
    </r>
    <r>
      <rPr>
        <sz val="10"/>
        <rFont val="Arial"/>
        <family val="2"/>
      </rPr>
      <t xml:space="preserve">= 2 SABONETEIRAS </t>
    </r>
    <r>
      <rPr>
        <b/>
        <sz val="10"/>
        <rFont val="Arial"/>
        <family val="2"/>
      </rPr>
      <t xml:space="preserve">) </t>
    </r>
    <r>
      <rPr>
        <sz val="10"/>
        <rFont val="Arial"/>
        <family val="2"/>
      </rPr>
      <t>+ (</t>
    </r>
    <r>
      <rPr>
        <b/>
        <sz val="10"/>
        <rFont val="Arial"/>
        <family val="2"/>
      </rPr>
      <t>BANHEIRO FEMININO</t>
    </r>
    <r>
      <rPr>
        <sz val="10"/>
        <rFont val="Arial"/>
        <family val="2"/>
      </rPr>
      <t>= 2 SABONETEIRAS) + (</t>
    </r>
    <r>
      <rPr>
        <b/>
        <sz val="10"/>
        <rFont val="Arial"/>
        <family val="2"/>
      </rPr>
      <t>BANHEIRO CAMARIM</t>
    </r>
    <r>
      <rPr>
        <sz val="10"/>
        <rFont val="Arial"/>
        <family val="2"/>
      </rPr>
      <t>= 1 SABONETEIRA)</t>
    </r>
  </si>
  <si>
    <r>
      <t>(</t>
    </r>
    <r>
      <rPr>
        <b/>
        <sz val="10"/>
        <rFont val="Arial"/>
        <family val="2"/>
      </rPr>
      <t>BANHEIRO MASCULINO</t>
    </r>
    <r>
      <rPr>
        <sz val="10"/>
        <rFont val="Arial"/>
        <family val="2"/>
      </rPr>
      <t xml:space="preserve">= 3 SABONETEIRAS </t>
    </r>
    <r>
      <rPr>
        <b/>
        <sz val="10"/>
        <rFont val="Arial"/>
        <family val="2"/>
      </rPr>
      <t xml:space="preserve">) </t>
    </r>
    <r>
      <rPr>
        <sz val="10"/>
        <rFont val="Arial"/>
        <family val="2"/>
      </rPr>
      <t>+ (</t>
    </r>
    <r>
      <rPr>
        <b/>
        <sz val="10"/>
        <rFont val="Arial"/>
        <family val="2"/>
      </rPr>
      <t>BANHEIRO FEMININO</t>
    </r>
    <r>
      <rPr>
        <sz val="10"/>
        <rFont val="Arial"/>
        <family val="2"/>
      </rPr>
      <t>= 3 SABONETEIRAS) + (</t>
    </r>
    <r>
      <rPr>
        <b/>
        <sz val="10"/>
        <rFont val="Arial"/>
        <family val="2"/>
      </rPr>
      <t>BANHEIRO CAMARIM</t>
    </r>
    <r>
      <rPr>
        <sz val="10"/>
        <rFont val="Arial"/>
        <family val="2"/>
      </rPr>
      <t>= 1 SABONETEIRA)</t>
    </r>
  </si>
  <si>
    <t>BANHEIROS P.N.E</t>
  </si>
  <si>
    <t>D.M.L</t>
  </si>
  <si>
    <t>DESPENSA</t>
  </si>
  <si>
    <t>PIAS BANHEIROS MASCULINO E FEMININO (1,86MX0,65M)X2 UND) + PIA COZINHA (0,53MX3,14M) + PIA BANHEIRO CAMARIM (0,45MX0,60M)</t>
  </si>
  <si>
    <t>(1,54*2*4)+((1,03+0,775+0,775)*2)</t>
  </si>
  <si>
    <t>DIVISÓRIA EM GRANITO SÃO GABRIEL E = 3 CM, INCLUSIVE
FERRAGENS EM LATÃO CROMADO</t>
  </si>
  <si>
    <t>0,8*0,15*8</t>
  </si>
  <si>
    <t>(0,2*2*18)+(0,2*1,5*4)+(0,2*1*4)+(0,2*0,5)+(0,2*1,2)</t>
  </si>
  <si>
    <t>INSTALADA NO CENTRO DA COZINHA</t>
  </si>
  <si>
    <t>SAÍDA PARA EXAUSTOR</t>
  </si>
  <si>
    <t>NA PAREDE LATERAL DA COZINHA</t>
  </si>
  <si>
    <t>ACIMA DA LAJE DO BANHEIRO</t>
  </si>
  <si>
    <t>LANTERNIM</t>
  </si>
  <si>
    <t>BANHEIROS</t>
  </si>
  <si>
    <t>PREFEITURA MUNICIPAL DE COUTO DE MAGALHÃES DE MINAS                                                                                                                                                                         CNPJ:17.154.177/0001-86                                                                                                                                                                                                                                                                                               Rua Sebastião Francisco Mota, nº45, Centro, CEP:39.188-000, Telefone: (38) 3533-1244                                                                                                                                                                                                                                                E-mail: gabinete@coutodemagalhaesdeminas.mg.gov.br</t>
  </si>
  <si>
    <t>CHAPIM EM CHAPA GALVANIZADA, COM PINGADEIRA, ESP. 0,
65MM (GSG-24), COM DESENVOLVIMENTO DE 35CM, INCLUSIVE
IÇAMENTO MANUAL VERTICAL</t>
  </si>
  <si>
    <t>ED-50667</t>
  </si>
  <si>
    <t>7.17</t>
  </si>
  <si>
    <t>10,30 M +10,30 M +6,70 M+ 6,70</t>
  </si>
  <si>
    <t>BARRA DE APOIO EM AÇO INOX POLIDO PARA LAVATÓRIO DE
CANTO, DN 1.1/4" (31,75MM), PARA ACESSIBILIDADE (PMR/PCR),
INSTALADO EM PAREDE, INCLUSIVE FORNECIMENTO,
INSTALAÇÃO E ACESSÓRIOS PARA FIXAÇÃO</t>
  </si>
  <si>
    <t>ED-48167</t>
  </si>
  <si>
    <t>14.12</t>
  </si>
  <si>
    <t>PORTA DE SANITÁRIO COMPLETA, COM BATENTES DE FERRO,
ESTRUTURA EM METALON 20 X 30, FOLHA EM CHAPA
GALVANIZADA Nº. 18, TRANQUETA E DOBRADIÇAS - 60 X 180 CM</t>
  </si>
  <si>
    <t>ED-50978</t>
  </si>
  <si>
    <t xml:space="preserve"> 1 BANHEIRO MASC. 2 BANHEIRO FEM.</t>
  </si>
  <si>
    <t>PORTÃO EM PERFIL E CHAPA METÁLICA</t>
  </si>
  <si>
    <t>ED-50985</t>
  </si>
  <si>
    <t>6.12</t>
  </si>
  <si>
    <t>2,57 M LARGURA X 2,10 M DE ALTURA</t>
  </si>
  <si>
    <t>30,91,%</t>
  </si>
  <si>
    <t>BARRACÃO DE OBRA, EM CHAPA DE COMPENSADO RESINADO,
INCLUSIVE INSTALAÇÕES SANITÁRIAS E MOBILIÁRIO - PADRÃO
DER-MG</t>
  </si>
  <si>
    <t>ED-50135</t>
  </si>
  <si>
    <t>3,00 M DE COMPRIMENTO X 3,00 M DE LARGURA</t>
  </si>
  <si>
    <t>LAVATÓRIO DE LOUÇA BRANCA COM COLUNA, TAMANHO MÉDIO,
INCLUSIVE ACESSÓRIOS DE FIXAÇÃO, VÁLVULA DE ESCOAMENTO
DE METAL COM ACABAMENTO CROMADO, SIFÃO DE METAL TIPO
COPO COM ACABAMENTO CROMADO, FORNECIMENTO,
INSTALAÇÃO E REJUNTAMENTO, EXCLUSIVE TORNEIRA E
ENGATE FLEXÍVEL</t>
  </si>
  <si>
    <t>ED-50282</t>
  </si>
  <si>
    <t>14.13</t>
  </si>
  <si>
    <t>1 UNIDADE BANHEIRO MASCULINO + 1 UNIDADE BANHEIRO FEMININO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</si>
</sst>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(&quot;R$ &quot;* #,##0.00_);_(&quot;R$ &quot;* \(#,##0.00\);_(&quot;R$ &quot;* &quot;-&quot;??_);_(@_)"/>
    <numFmt numFmtId="167" formatCode="_(&quot;$&quot;* #,##0.00_);_(&quot;$&quot;* \(#,##0.00\);_(&quot;$&quot;* &quot;-&quot;??_);_(@_)"/>
    <numFmt numFmtId="168" formatCode="&quot;R$&quot;\ #,##0.00"/>
    <numFmt numFmtId="169" formatCode="#,##0.0000000"/>
    <numFmt numFmtId="170" formatCode="&quot;R$ &quot;#,##0.00"/>
    <numFmt numFmtId="171" formatCode="00\.00\.00\.00"/>
    <numFmt numFmtId="172" formatCode="#,##0.0000"/>
    <numFmt numFmtId="173" formatCode="* #,##0.00\ ;* \(#,##0.00\);* \-#\ ;@\ "/>
    <numFmt numFmtId="174" formatCode="d/m/yyyy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2060"/>
      <name val="Arial"/>
      <family val="2"/>
    </font>
    <font>
      <sz val="12"/>
      <name val="Cambria"/>
      <family val="1"/>
      <scheme val="major"/>
    </font>
    <font>
      <sz val="22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18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b/>
      <sz val="9"/>
      <color rgb="FF00B050"/>
      <name val="Times New Roman"/>
      <family val="1"/>
    </font>
    <font>
      <b/>
      <sz val="8"/>
      <color rgb="FF002060"/>
      <name val="Arial"/>
      <family val="2"/>
    </font>
    <font>
      <b/>
      <sz val="8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00B050"/>
      <name val="Times New Roman"/>
      <family val="1"/>
    </font>
    <font>
      <b/>
      <sz val="14"/>
      <color rgb="FFFF0000"/>
      <name val="Arial"/>
      <family val="2"/>
    </font>
    <font>
      <b/>
      <sz val="8"/>
      <color rgb="FF002060"/>
      <name val="Times New Roman"/>
      <family val="1"/>
    </font>
    <font>
      <b/>
      <sz val="10"/>
      <color rgb="FF002060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i/>
      <sz val="10"/>
      <name val="Arial"/>
      <family val="2"/>
    </font>
    <font>
      <b/>
      <sz val="10"/>
      <color theme="3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1"/>
    </font>
    <font>
      <b/>
      <sz val="18"/>
      <color rgb="FF003366"/>
      <name val="Cambria"/>
      <family val="2"/>
      <charset val="1"/>
    </font>
    <font>
      <sz val="11"/>
      <color rgb="FF00000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6"/>
      <name val="Cambria"/>
      <family val="1"/>
      <scheme val="maj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u/>
      <sz val="10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6E6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EEEEEE"/>
      </patternFill>
    </fill>
    <fill>
      <patternFill patternType="solid">
        <fgColor rgb="FFFFFFC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FEEC"/>
        <bgColor indexed="64"/>
      </patternFill>
    </fill>
    <fill>
      <patternFill patternType="solid">
        <fgColor theme="3" tint="0.79998168889431442"/>
        <bgColor indexed="64"/>
      </patternFill>
    </fill>
  </fills>
  <borders count="10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17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0" borderId="0"/>
    <xf numFmtId="173" fontId="55" fillId="0" borderId="0" applyBorder="0" applyProtection="0"/>
    <xf numFmtId="9" fontId="44" fillId="0" borderId="0" applyBorder="0" applyProtection="0"/>
    <xf numFmtId="0" fontId="45" fillId="8" borderId="0" applyBorder="0" applyProtection="0"/>
    <xf numFmtId="0" fontId="46" fillId="0" borderId="0" applyBorder="0" applyProtection="0"/>
    <xf numFmtId="0" fontId="45" fillId="9" borderId="0" applyBorder="0" applyProtection="0"/>
    <xf numFmtId="0" fontId="46" fillId="10" borderId="0" applyBorder="0" applyProtection="0"/>
    <xf numFmtId="0" fontId="47" fillId="11" borderId="0" applyBorder="0" applyProtection="0"/>
    <xf numFmtId="0" fontId="48" fillId="12" borderId="0" applyBorder="0" applyProtection="0"/>
    <xf numFmtId="0" fontId="49" fillId="0" borderId="0" applyBorder="0" applyProtection="0"/>
    <xf numFmtId="0" fontId="50" fillId="13" borderId="0" applyBorder="0" applyProtection="0"/>
    <xf numFmtId="0" fontId="51" fillId="0" borderId="0" applyBorder="0" applyProtection="0"/>
    <xf numFmtId="0" fontId="52" fillId="0" borderId="0" applyBorder="0" applyProtection="0"/>
    <xf numFmtId="0" fontId="53" fillId="0" borderId="0" applyBorder="0" applyProtection="0"/>
    <xf numFmtId="0" fontId="54" fillId="14" borderId="0" applyBorder="0" applyProtection="0"/>
    <xf numFmtId="0" fontId="44" fillId="0" borderId="0"/>
    <xf numFmtId="0" fontId="56" fillId="14" borderId="64" applyProtection="0"/>
    <xf numFmtId="0" fontId="44" fillId="0" borderId="0" applyBorder="0" applyProtection="0"/>
    <xf numFmtId="0" fontId="44" fillId="0" borderId="0" applyBorder="0" applyProtection="0"/>
    <xf numFmtId="0" fontId="57" fillId="0" borderId="0" applyBorder="0" applyProtection="0"/>
    <xf numFmtId="0" fontId="47" fillId="0" borderId="0" applyBorder="0" applyProtection="0"/>
    <xf numFmtId="173" fontId="44" fillId="0" borderId="0" applyBorder="0" applyProtection="0"/>
    <xf numFmtId="173" fontId="44" fillId="0" borderId="0" applyBorder="0" applyProtection="0"/>
    <xf numFmtId="0" fontId="58" fillId="0" borderId="0"/>
    <xf numFmtId="43" fontId="61" fillId="0" borderId="0" applyFont="0" applyFill="0" applyBorder="0" applyAlignment="0" applyProtection="0"/>
  </cellStyleXfs>
  <cellXfs count="575"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Border="1"/>
    <xf numFmtId="0" fontId="3" fillId="3" borderId="15" xfId="1" applyFill="1" applyBorder="1"/>
    <xf numFmtId="0" fontId="10" fillId="3" borderId="15" xfId="1" applyFont="1" applyFill="1" applyBorder="1" applyAlignment="1">
      <alignment wrapText="1"/>
    </xf>
    <xf numFmtId="0" fontId="10" fillId="3" borderId="16" xfId="1" applyFont="1" applyFill="1" applyBorder="1"/>
    <xf numFmtId="0" fontId="9" fillId="3" borderId="13" xfId="1" applyFont="1" applyFill="1" applyBorder="1"/>
    <xf numFmtId="0" fontId="3" fillId="3" borderId="0" xfId="1" applyFill="1" applyBorder="1" applyAlignment="1">
      <alignment wrapText="1"/>
    </xf>
    <xf numFmtId="0" fontId="5" fillId="3" borderId="13" xfId="1" applyFont="1" applyFill="1" applyBorder="1"/>
    <xf numFmtId="0" fontId="3" fillId="0" borderId="0" xfId="1" applyBorder="1" applyAlignment="1">
      <alignment vertical="center"/>
    </xf>
    <xf numFmtId="0" fontId="5" fillId="3" borderId="0" xfId="1" applyFont="1" applyFill="1" applyBorder="1" applyAlignment="1">
      <alignment wrapText="1"/>
    </xf>
    <xf numFmtId="0" fontId="5" fillId="3" borderId="13" xfId="1" applyFont="1" applyFill="1" applyBorder="1" applyAlignment="1">
      <alignment wrapText="1"/>
    </xf>
    <xf numFmtId="0" fontId="3" fillId="3" borderId="0" xfId="1" applyFill="1" applyBorder="1" applyAlignment="1">
      <alignment vertical="center"/>
    </xf>
    <xf numFmtId="0" fontId="3" fillId="3" borderId="0" xfId="1" applyFill="1" applyBorder="1" applyAlignment="1">
      <alignment vertical="center" wrapText="1"/>
    </xf>
    <xf numFmtId="0" fontId="3" fillId="3" borderId="13" xfId="1" applyFill="1" applyBorder="1" applyAlignment="1">
      <alignment vertical="center"/>
    </xf>
    <xf numFmtId="0" fontId="3" fillId="3" borderId="12" xfId="1" applyFill="1" applyBorder="1"/>
    <xf numFmtId="0" fontId="3" fillId="3" borderId="14" xfId="1" applyFill="1" applyBorder="1"/>
    <xf numFmtId="10" fontId="3" fillId="3" borderId="0" xfId="1" applyNumberFormat="1" applyFill="1"/>
    <xf numFmtId="0" fontId="5" fillId="3" borderId="23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 wrapText="1"/>
    </xf>
    <xf numFmtId="168" fontId="3" fillId="3" borderId="0" xfId="1" applyNumberFormat="1" applyFill="1"/>
    <xf numFmtId="49" fontId="13" fillId="3" borderId="27" xfId="1" applyNumberFormat="1" applyFont="1" applyFill="1" applyBorder="1" applyAlignment="1">
      <alignment horizontal="center" vertical="center" wrapText="1"/>
    </xf>
    <xf numFmtId="49" fontId="12" fillId="3" borderId="31" xfId="1" applyNumberFormat="1" applyFont="1" applyFill="1" applyBorder="1" applyAlignment="1">
      <alignment horizontal="center" vertical="center" wrapText="1"/>
    </xf>
    <xf numFmtId="10" fontId="13" fillId="3" borderId="44" xfId="1" applyNumberFormat="1" applyFont="1" applyFill="1" applyBorder="1" applyAlignment="1">
      <alignment horizontal="center" vertical="center" wrapText="1"/>
    </xf>
    <xf numFmtId="10" fontId="12" fillId="3" borderId="31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/>
    </xf>
    <xf numFmtId="0" fontId="5" fillId="3" borderId="11" xfId="1" applyFont="1" applyFill="1" applyBorder="1" applyAlignment="1">
      <alignment wrapText="1"/>
    </xf>
    <xf numFmtId="0" fontId="5" fillId="3" borderId="10" xfId="1" applyFont="1" applyFill="1" applyBorder="1" applyAlignment="1">
      <alignment wrapText="1"/>
    </xf>
    <xf numFmtId="0" fontId="3" fillId="3" borderId="9" xfId="1" applyFill="1" applyBorder="1"/>
    <xf numFmtId="0" fontId="5" fillId="3" borderId="12" xfId="1" applyFont="1" applyFill="1" applyBorder="1"/>
    <xf numFmtId="0" fontId="3" fillId="0" borderId="0" xfId="19"/>
    <xf numFmtId="0" fontId="3" fillId="0" borderId="0" xfId="19" applyAlignment="1">
      <alignment vertical="top"/>
    </xf>
    <xf numFmtId="0" fontId="1" fillId="0" borderId="0" xfId="20"/>
    <xf numFmtId="170" fontId="22" fillId="0" borderId="54" xfId="19" applyNumberFormat="1" applyFont="1" applyBorder="1" applyAlignment="1">
      <alignment horizontal="center" vertical="center"/>
    </xf>
    <xf numFmtId="170" fontId="23" fillId="0" borderId="54" xfId="19" applyNumberFormat="1" applyFont="1" applyBorder="1" applyAlignment="1">
      <alignment horizontal="center" vertical="center"/>
    </xf>
    <xf numFmtId="170" fontId="25" fillId="0" borderId="55" xfId="19" applyNumberFormat="1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52" xfId="19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2" fontId="9" fillId="4" borderId="3" xfId="21" applyNumberFormat="1" applyFont="1" applyFill="1" applyBorder="1" applyAlignment="1">
      <alignment horizontal="center" vertical="center"/>
    </xf>
    <xf numFmtId="4" fontId="10" fillId="0" borderId="3" xfId="19" applyNumberFormat="1" applyFont="1" applyBorder="1" applyAlignment="1">
      <alignment horizontal="center" vertical="center"/>
    </xf>
    <xf numFmtId="0" fontId="9" fillId="4" borderId="3" xfId="21" applyFont="1" applyFill="1" applyBorder="1" applyAlignment="1">
      <alignment horizontal="center" vertical="center"/>
    </xf>
    <xf numFmtId="170" fontId="28" fillId="0" borderId="20" xfId="19" applyNumberFormat="1" applyFont="1" applyBorder="1" applyAlignment="1">
      <alignment horizontal="center" vertical="center"/>
    </xf>
    <xf numFmtId="170" fontId="29" fillId="0" borderId="2" xfId="19" applyNumberFormat="1" applyFont="1" applyBorder="1" applyAlignment="1">
      <alignment horizontal="center" vertical="center"/>
    </xf>
    <xf numFmtId="4" fontId="3" fillId="0" borderId="0" xfId="19" applyNumberFormat="1"/>
    <xf numFmtId="170" fontId="30" fillId="0" borderId="2" xfId="19" applyNumberFormat="1" applyFont="1" applyBorder="1" applyAlignment="1">
      <alignment horizontal="center" vertical="center"/>
    </xf>
    <xf numFmtId="0" fontId="20" fillId="0" borderId="56" xfId="20" applyFont="1" applyBorder="1" applyAlignment="1">
      <alignment horizontal="center" vertical="center" wrapText="1"/>
    </xf>
    <xf numFmtId="4" fontId="20" fillId="0" borderId="3" xfId="20" applyNumberFormat="1" applyFont="1" applyBorder="1" applyAlignment="1">
      <alignment horizontal="right" vertical="center" wrapText="1"/>
    </xf>
    <xf numFmtId="164" fontId="20" fillId="0" borderId="3" xfId="19" applyNumberFormat="1" applyFont="1" applyBorder="1" applyAlignment="1">
      <alignment horizontal="center" vertical="center"/>
    </xf>
    <xf numFmtId="4" fontId="31" fillId="0" borderId="3" xfId="19" applyNumberFormat="1" applyFont="1" applyBorder="1" applyAlignment="1">
      <alignment horizontal="center" vertical="center"/>
    </xf>
    <xf numFmtId="4" fontId="20" fillId="0" borderId="3" xfId="19" applyNumberFormat="1" applyFont="1" applyBorder="1" applyAlignment="1">
      <alignment horizontal="center" vertical="center"/>
    </xf>
    <xf numFmtId="4" fontId="20" fillId="0" borderId="2" xfId="19" applyNumberFormat="1" applyFont="1" applyBorder="1" applyAlignment="1">
      <alignment horizontal="center" vertical="center"/>
    </xf>
    <xf numFmtId="4" fontId="6" fillId="0" borderId="0" xfId="19" applyNumberFormat="1" applyFont="1" applyAlignment="1">
      <alignment horizontal="center" vertical="center"/>
    </xf>
    <xf numFmtId="171" fontId="20" fillId="0" borderId="6" xfId="19" applyNumberFormat="1" applyFont="1" applyFill="1" applyBorder="1" applyAlignment="1">
      <alignment horizontal="right" vertical="top"/>
    </xf>
    <xf numFmtId="170" fontId="24" fillId="0" borderId="20" xfId="19" applyNumberFormat="1" applyFont="1" applyBorder="1" applyAlignment="1">
      <alignment horizontal="center" vertical="center"/>
    </xf>
    <xf numFmtId="170" fontId="33" fillId="0" borderId="2" xfId="19" applyNumberFormat="1" applyFont="1" applyBorder="1" applyAlignment="1">
      <alignment horizontal="center" vertical="center"/>
    </xf>
    <xf numFmtId="0" fontId="6" fillId="0" borderId="20" xfId="19" applyFont="1" applyBorder="1" applyAlignment="1"/>
    <xf numFmtId="0" fontId="6" fillId="0" borderId="36" xfId="19" applyFont="1" applyBorder="1" applyAlignment="1"/>
    <xf numFmtId="0" fontId="5" fillId="3" borderId="0" xfId="1" applyFont="1" applyFill="1" applyBorder="1"/>
    <xf numFmtId="0" fontId="0" fillId="0" borderId="11" xfId="0" applyBorder="1"/>
    <xf numFmtId="0" fontId="0" fillId="0" borderId="13" xfId="0" applyBorder="1"/>
    <xf numFmtId="0" fontId="0" fillId="0" borderId="16" xfId="0" applyBorder="1"/>
    <xf numFmtId="43" fontId="0" fillId="0" borderId="0" xfId="0" applyNumberFormat="1"/>
    <xf numFmtId="168" fontId="0" fillId="0" borderId="0" xfId="0" applyNumberFormat="1"/>
    <xf numFmtId="0" fontId="10" fillId="3" borderId="15" xfId="1" applyFont="1" applyFill="1" applyBorder="1"/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/>
    </xf>
    <xf numFmtId="0" fontId="3" fillId="0" borderId="3" xfId="1" applyBorder="1" applyAlignment="1">
      <alignment horizontal="left" vertical="center" wrapText="1"/>
    </xf>
    <xf numFmtId="0" fontId="3" fillId="0" borderId="3" xfId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8" fontId="3" fillId="0" borderId="3" xfId="15" applyNumberFormat="1" applyFont="1" applyBorder="1" applyAlignment="1">
      <alignment horizontal="center" vertical="center" wrapText="1"/>
    </xf>
    <xf numFmtId="168" fontId="5" fillId="0" borderId="2" xfId="0" applyNumberFormat="1" applyFont="1" applyBorder="1" applyAlignment="1">
      <alignment horizontal="right" vertical="center" wrapText="1"/>
    </xf>
    <xf numFmtId="4" fontId="3" fillId="0" borderId="3" xfId="15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5" borderId="3" xfId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5" borderId="3" xfId="1" applyFill="1" applyBorder="1" applyAlignment="1">
      <alignment horizontal="left" vertical="center" wrapText="1"/>
    </xf>
    <xf numFmtId="2" fontId="5" fillId="2" borderId="54" xfId="0" applyNumberFormat="1" applyFont="1" applyFill="1" applyBorder="1" applyAlignment="1">
      <alignment horizontal="left" vertical="center" wrapText="1"/>
    </xf>
    <xf numFmtId="2" fontId="6" fillId="2" borderId="57" xfId="0" applyNumberFormat="1" applyFont="1" applyFill="1" applyBorder="1" applyAlignment="1">
      <alignment horizontal="center" vertical="center" wrapText="1"/>
    </xf>
    <xf numFmtId="168" fontId="43" fillId="6" borderId="55" xfId="0" applyNumberFormat="1" applyFont="1" applyFill="1" applyBorder="1" applyAlignment="1">
      <alignment horizontal="center" vertical="center" wrapText="1"/>
    </xf>
    <xf numFmtId="0" fontId="42" fillId="15" borderId="3" xfId="0" applyFont="1" applyFill="1" applyBorder="1" applyAlignment="1">
      <alignment horizontal="center" vertical="center"/>
    </xf>
    <xf numFmtId="168" fontId="3" fillId="2" borderId="3" xfId="15" applyNumberFormat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vertical="center"/>
    </xf>
    <xf numFmtId="0" fontId="3" fillId="15" borderId="3" xfId="1" applyFill="1" applyBorder="1" applyAlignment="1">
      <alignment vertical="center"/>
    </xf>
    <xf numFmtId="168" fontId="3" fillId="15" borderId="3" xfId="15" applyNumberFormat="1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168" fontId="6" fillId="2" borderId="54" xfId="15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8" fontId="7" fillId="2" borderId="3" xfId="15" applyNumberFormat="1" applyFont="1" applyFill="1" applyBorder="1" applyAlignment="1">
      <alignment horizontal="center" vertical="center" wrapText="1"/>
    </xf>
    <xf numFmtId="168" fontId="6" fillId="2" borderId="3" xfId="15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left" vertical="center" wrapText="1"/>
    </xf>
    <xf numFmtId="0" fontId="3" fillId="15" borderId="3" xfId="1" applyFill="1" applyBorder="1" applyAlignment="1">
      <alignment horizontal="center" vertical="center"/>
    </xf>
    <xf numFmtId="168" fontId="5" fillId="15" borderId="2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7" fillId="2" borderId="54" xfId="15" applyNumberFormat="1" applyFont="1" applyFill="1" applyBorder="1" applyAlignment="1">
      <alignment horizontal="center" vertical="center" wrapText="1"/>
    </xf>
    <xf numFmtId="164" fontId="6" fillId="2" borderId="54" xfId="15" applyNumberFormat="1" applyFont="1" applyFill="1" applyBorder="1" applyAlignment="1">
      <alignment horizontal="center" vertical="center" wrapText="1"/>
    </xf>
    <xf numFmtId="168" fontId="40" fillId="2" borderId="54" xfId="15" applyNumberFormat="1" applyFont="1" applyFill="1" applyBorder="1" applyAlignment="1">
      <alignment horizontal="center" vertical="center" wrapText="1"/>
    </xf>
    <xf numFmtId="168" fontId="3" fillId="2" borderId="54" xfId="15" applyNumberFormat="1" applyFont="1" applyFill="1" applyBorder="1" applyAlignment="1">
      <alignment horizontal="center" vertical="center" wrapText="1"/>
    </xf>
    <xf numFmtId="4" fontId="3" fillId="3" borderId="0" xfId="1" applyNumberFormat="1" applyFill="1" applyBorder="1"/>
    <xf numFmtId="2" fontId="5" fillId="2" borderId="56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2" fontId="5" fillId="15" borderId="56" xfId="0" applyNumberFormat="1" applyFont="1" applyFill="1" applyBorder="1" applyAlignment="1">
      <alignment horizontal="center" vertical="center" wrapText="1"/>
    </xf>
    <xf numFmtId="49" fontId="13" fillId="16" borderId="27" xfId="1" applyNumberFormat="1" applyFont="1" applyFill="1" applyBorder="1" applyAlignment="1">
      <alignment horizontal="center" vertical="center" wrapText="1"/>
    </xf>
    <xf numFmtId="168" fontId="13" fillId="16" borderId="27" xfId="1" applyNumberFormat="1" applyFont="1" applyFill="1" applyBorder="1" applyAlignment="1">
      <alignment horizontal="center" vertical="center" wrapText="1"/>
    </xf>
    <xf numFmtId="49" fontId="12" fillId="16" borderId="25" xfId="1" applyNumberFormat="1" applyFont="1" applyFill="1" applyBorder="1" applyAlignment="1">
      <alignment horizontal="center" vertical="center" wrapText="1"/>
    </xf>
    <xf numFmtId="168" fontId="12" fillId="16" borderId="25" xfId="1" applyNumberFormat="1" applyFont="1" applyFill="1" applyBorder="1" applyAlignment="1">
      <alignment horizontal="center" vertical="center" wrapText="1"/>
    </xf>
    <xf numFmtId="168" fontId="0" fillId="0" borderId="0" xfId="48" applyNumberFormat="1" applyFont="1"/>
    <xf numFmtId="168" fontId="5" fillId="3" borderId="0" xfId="1" applyNumberFormat="1" applyFont="1" applyFill="1" applyBorder="1"/>
    <xf numFmtId="0" fontId="9" fillId="3" borderId="16" xfId="1" applyFont="1" applyFill="1" applyBorder="1"/>
    <xf numFmtId="0" fontId="9" fillId="3" borderId="15" xfId="1" applyFont="1" applyFill="1" applyBorder="1"/>
    <xf numFmtId="0" fontId="9" fillId="3" borderId="15" xfId="1" applyFont="1" applyFill="1" applyBorder="1" applyAlignment="1">
      <alignment wrapText="1"/>
    </xf>
    <xf numFmtId="0" fontId="5" fillId="3" borderId="15" xfId="1" applyFont="1" applyFill="1" applyBorder="1" applyAlignment="1">
      <alignment horizontal="right"/>
    </xf>
    <xf numFmtId="169" fontId="6" fillId="2" borderId="54" xfId="15" applyNumberFormat="1" applyFont="1" applyFill="1" applyBorder="1" applyAlignment="1">
      <alignment horizontal="center" vertical="center" wrapText="1"/>
    </xf>
    <xf numFmtId="169" fontId="3" fillId="2" borderId="54" xfId="15" applyNumberFormat="1" applyFont="1" applyFill="1" applyBorder="1" applyAlignment="1">
      <alignment horizontal="center" vertical="center" wrapText="1"/>
    </xf>
    <xf numFmtId="172" fontId="3" fillId="15" borderId="3" xfId="15" applyNumberFormat="1" applyFont="1" applyFill="1" applyBorder="1" applyAlignment="1">
      <alignment horizontal="center" vertical="center" wrapText="1"/>
    </xf>
    <xf numFmtId="169" fontId="6" fillId="2" borderId="3" xfId="15" applyNumberFormat="1" applyFont="1" applyFill="1" applyBorder="1" applyAlignment="1">
      <alignment horizontal="center" vertical="center" wrapText="1"/>
    </xf>
    <xf numFmtId="169" fontId="6" fillId="15" borderId="3" xfId="15" applyNumberFormat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  <xf numFmtId="0" fontId="9" fillId="3" borderId="15" xfId="1" applyFont="1" applyFill="1" applyBorder="1" applyAlignment="1">
      <alignment horizontal="center" wrapText="1"/>
    </xf>
    <xf numFmtId="0" fontId="10" fillId="3" borderId="15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5" fillId="2" borderId="57" xfId="0" applyNumberFormat="1" applyFont="1" applyFill="1" applyBorder="1" applyAlignment="1">
      <alignment horizontal="left" vertical="center" wrapText="1"/>
    </xf>
    <xf numFmtId="169" fontId="3" fillId="2" borderId="57" xfId="15" applyNumberFormat="1" applyFont="1" applyFill="1" applyBorder="1" applyAlignment="1">
      <alignment horizontal="center" vertical="center" wrapText="1"/>
    </xf>
    <xf numFmtId="168" fontId="40" fillId="2" borderId="57" xfId="15" applyNumberFormat="1" applyFont="1" applyFill="1" applyBorder="1" applyAlignment="1">
      <alignment horizontal="center" vertical="center" wrapText="1"/>
    </xf>
    <xf numFmtId="168" fontId="3" fillId="2" borderId="57" xfId="15" applyNumberFormat="1" applyFont="1" applyFill="1" applyBorder="1" applyAlignment="1">
      <alignment horizontal="center" vertical="center" wrapText="1"/>
    </xf>
    <xf numFmtId="168" fontId="43" fillId="6" borderId="69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0" fontId="3" fillId="15" borderId="3" xfId="1" applyFont="1" applyFill="1" applyBorder="1" applyAlignment="1">
      <alignment vertical="center"/>
    </xf>
    <xf numFmtId="4" fontId="3" fillId="15" borderId="3" xfId="15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/>
    </xf>
    <xf numFmtId="169" fontId="3" fillId="15" borderId="3" xfId="15" applyNumberFormat="1" applyFont="1" applyFill="1" applyBorder="1" applyAlignment="1">
      <alignment horizontal="center" vertical="center" wrapText="1"/>
    </xf>
    <xf numFmtId="10" fontId="13" fillId="3" borderId="66" xfId="1" applyNumberFormat="1" applyFont="1" applyFill="1" applyBorder="1" applyAlignment="1">
      <alignment horizontal="center" vertical="center" wrapText="1"/>
    </xf>
    <xf numFmtId="10" fontId="13" fillId="3" borderId="65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/>
    <xf numFmtId="2" fontId="3" fillId="5" borderId="3" xfId="0" applyNumberFormat="1" applyFont="1" applyFill="1" applyBorder="1" applyAlignment="1">
      <alignment horizontal="left" vertical="center" wrapText="1"/>
    </xf>
    <xf numFmtId="4" fontId="3" fillId="5" borderId="3" xfId="15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168" fontId="3" fillId="5" borderId="3" xfId="15" applyNumberFormat="1" applyFont="1" applyFill="1" applyBorder="1" applyAlignment="1">
      <alignment horizontal="center" vertical="center" wrapText="1"/>
    </xf>
    <xf numFmtId="168" fontId="5" fillId="5" borderId="2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/>
    </xf>
    <xf numFmtId="10" fontId="14" fillId="5" borderId="48" xfId="9" applyNumberFormat="1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10" fontId="14" fillId="17" borderId="48" xfId="9" applyNumberFormat="1" applyFont="1" applyFill="1" applyBorder="1" applyAlignment="1">
      <alignment horizontal="center" vertical="center"/>
    </xf>
    <xf numFmtId="168" fontId="3" fillId="17" borderId="3" xfId="15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3" fillId="3" borderId="0" xfId="1" applyFill="1" applyAlignment="1">
      <alignment horizontal="center"/>
    </xf>
    <xf numFmtId="168" fontId="13" fillId="16" borderId="44" xfId="1" applyNumberFormat="1" applyFont="1" applyFill="1" applyBorder="1" applyAlignment="1">
      <alignment horizontal="center" vertical="center" wrapText="1"/>
    </xf>
    <xf numFmtId="168" fontId="13" fillId="16" borderId="70" xfId="1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10" fontId="13" fillId="3" borderId="31" xfId="1" applyNumberFormat="1" applyFont="1" applyFill="1" applyBorder="1" applyAlignment="1">
      <alignment horizontal="center" vertical="center" wrapText="1"/>
    </xf>
    <xf numFmtId="10" fontId="13" fillId="3" borderId="27" xfId="1" applyNumberFormat="1" applyFont="1" applyFill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/>
    </xf>
    <xf numFmtId="0" fontId="3" fillId="3" borderId="15" xfId="1" applyFill="1" applyBorder="1" applyAlignment="1">
      <alignment horizontal="center"/>
    </xf>
    <xf numFmtId="0" fontId="3" fillId="3" borderId="12" xfId="1" applyFill="1" applyBorder="1" applyAlignment="1">
      <alignment horizontal="center" vertical="center"/>
    </xf>
    <xf numFmtId="0" fontId="3" fillId="3" borderId="26" xfId="1" applyFill="1" applyBorder="1" applyAlignment="1">
      <alignment horizontal="center"/>
    </xf>
    <xf numFmtId="0" fontId="3" fillId="3" borderId="12" xfId="1" applyFill="1" applyBorder="1" applyAlignment="1">
      <alignment horizontal="center"/>
    </xf>
    <xf numFmtId="0" fontId="3" fillId="3" borderId="0" xfId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3" fillId="3" borderId="14" xfId="1" applyFill="1" applyBorder="1" applyAlignment="1">
      <alignment horizontal="center"/>
    </xf>
    <xf numFmtId="0" fontId="3" fillId="15" borderId="7" xfId="0" applyFont="1" applyFill="1" applyBorder="1" applyAlignment="1">
      <alignment horizontal="center" vertical="center" wrapText="1"/>
    </xf>
    <xf numFmtId="0" fontId="0" fillId="0" borderId="54" xfId="0" applyBorder="1"/>
    <xf numFmtId="0" fontId="0" fillId="0" borderId="3" xfId="0" applyBorder="1"/>
    <xf numFmtId="0" fontId="0" fillId="0" borderId="4" xfId="0" applyBorder="1" applyAlignment="1">
      <alignment wrapText="1"/>
    </xf>
    <xf numFmtId="168" fontId="0" fillId="0" borderId="54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0" fontId="13" fillId="3" borderId="28" xfId="1" applyNumberFormat="1" applyFont="1" applyFill="1" applyBorder="1" applyAlignment="1">
      <alignment horizontal="center" vertical="center" wrapText="1"/>
    </xf>
    <xf numFmtId="10" fontId="13" fillId="3" borderId="68" xfId="1" applyNumberFormat="1" applyFont="1" applyFill="1" applyBorder="1" applyAlignment="1">
      <alignment horizontal="center" vertical="center" wrapText="1"/>
    </xf>
    <xf numFmtId="168" fontId="13" fillId="16" borderId="28" xfId="1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168" fontId="13" fillId="16" borderId="66" xfId="1" applyNumberFormat="1" applyFont="1" applyFill="1" applyBorder="1" applyAlignment="1">
      <alignment horizontal="center" vertical="center" wrapText="1"/>
    </xf>
    <xf numFmtId="10" fontId="13" fillId="3" borderId="67" xfId="1" applyNumberFormat="1" applyFont="1" applyFill="1" applyBorder="1" applyAlignment="1">
      <alignment horizontal="center" vertical="center" wrapText="1"/>
    </xf>
    <xf numFmtId="10" fontId="13" fillId="3" borderId="32" xfId="1" applyNumberFormat="1" applyFont="1" applyFill="1" applyBorder="1" applyAlignment="1">
      <alignment horizontal="center" vertical="center" wrapText="1"/>
    </xf>
    <xf numFmtId="168" fontId="13" fillId="16" borderId="68" xfId="1" applyNumberFormat="1" applyFont="1" applyFill="1" applyBorder="1" applyAlignment="1">
      <alignment horizontal="center" vertical="center" wrapText="1"/>
    </xf>
    <xf numFmtId="168" fontId="13" fillId="16" borderId="71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8" fontId="13" fillId="16" borderId="72" xfId="1" applyNumberFormat="1" applyFont="1" applyFill="1" applyBorder="1" applyAlignment="1">
      <alignment horizontal="center" vertical="center" wrapText="1"/>
    </xf>
    <xf numFmtId="4" fontId="64" fillId="0" borderId="76" xfId="0" applyNumberFormat="1" applyFont="1" applyBorder="1" applyAlignment="1"/>
    <xf numFmtId="4" fontId="65" fillId="0" borderId="0" xfId="0" applyNumberFormat="1" applyFont="1" applyAlignment="1"/>
    <xf numFmtId="4" fontId="64" fillId="0" borderId="0" xfId="0" applyNumberFormat="1" applyFont="1" applyAlignment="1"/>
    <xf numFmtId="4" fontId="64" fillId="0" borderId="77" xfId="0" applyNumberFormat="1" applyFont="1" applyBorder="1" applyAlignment="1"/>
    <xf numFmtId="4" fontId="64" fillId="0" borderId="76" xfId="0" applyNumberFormat="1" applyFont="1" applyBorder="1" applyAlignment="1">
      <alignment horizontal="right"/>
    </xf>
    <xf numFmtId="4" fontId="66" fillId="0" borderId="0" xfId="0" applyNumberFormat="1" applyFont="1" applyAlignment="1">
      <alignment horizontal="left"/>
    </xf>
    <xf numFmtId="4" fontId="66" fillId="0" borderId="0" xfId="0" applyNumberFormat="1" applyFont="1" applyAlignment="1">
      <alignment horizontal="center"/>
    </xf>
    <xf numFmtId="4" fontId="64" fillId="0" borderId="78" xfId="0" applyNumberFormat="1" applyFont="1" applyBorder="1" applyAlignment="1"/>
    <xf numFmtId="4" fontId="64" fillId="0" borderId="79" xfId="0" applyNumberFormat="1" applyFont="1" applyBorder="1" applyAlignment="1">
      <alignment wrapText="1"/>
    </xf>
    <xf numFmtId="4" fontId="66" fillId="0" borderId="0" xfId="0" applyNumberFormat="1" applyFont="1" applyAlignment="1"/>
    <xf numFmtId="4" fontId="64" fillId="0" borderId="79" xfId="0" applyNumberFormat="1" applyFont="1" applyBorder="1" applyAlignment="1"/>
    <xf numFmtId="4" fontId="64" fillId="0" borderId="81" xfId="0" applyNumberFormat="1" applyFont="1" applyBorder="1" applyAlignment="1">
      <alignment horizontal="center"/>
    </xf>
    <xf numFmtId="4" fontId="64" fillId="0" borderId="82" xfId="0" applyNumberFormat="1" applyFont="1" applyBorder="1" applyAlignment="1">
      <alignment horizontal="center"/>
    </xf>
    <xf numFmtId="4" fontId="67" fillId="0" borderId="82" xfId="0" applyNumberFormat="1" applyFont="1" applyBorder="1" applyAlignment="1"/>
    <xf numFmtId="4" fontId="64" fillId="0" borderId="83" xfId="0" applyNumberFormat="1" applyFont="1" applyBorder="1" applyAlignment="1"/>
    <xf numFmtId="4" fontId="64" fillId="0" borderId="84" xfId="0" applyNumberFormat="1" applyFont="1" applyBorder="1" applyAlignment="1">
      <alignment horizontal="center"/>
    </xf>
    <xf numFmtId="4" fontId="64" fillId="0" borderId="0" xfId="0" applyNumberFormat="1" applyFont="1" applyAlignment="1">
      <alignment horizontal="center"/>
    </xf>
    <xf numFmtId="4" fontId="67" fillId="0" borderId="0" xfId="0" applyNumberFormat="1" applyFont="1" applyAlignment="1"/>
    <xf numFmtId="4" fontId="64" fillId="0" borderId="85" xfId="0" applyNumberFormat="1" applyFont="1" applyBorder="1" applyAlignment="1"/>
    <xf numFmtId="4" fontId="66" fillId="0" borderId="78" xfId="0" applyNumberFormat="1" applyFont="1" applyBorder="1" applyAlignment="1">
      <alignment horizontal="right"/>
    </xf>
    <xf numFmtId="4" fontId="64" fillId="0" borderId="79" xfId="0" applyNumberFormat="1" applyFont="1" applyBorder="1" applyAlignment="1">
      <alignment horizontal="right"/>
    </xf>
    <xf numFmtId="4" fontId="64" fillId="0" borderId="86" xfId="0" applyNumberFormat="1" applyFont="1" applyBorder="1" applyAlignment="1"/>
    <xf numFmtId="4" fontId="64" fillId="0" borderId="82" xfId="0" applyNumberFormat="1" applyFont="1" applyBorder="1" applyAlignment="1"/>
    <xf numFmtId="4" fontId="64" fillId="0" borderId="87" xfId="0" applyNumberFormat="1" applyFont="1" applyBorder="1" applyAlignment="1"/>
    <xf numFmtId="4" fontId="64" fillId="0" borderId="88" xfId="0" applyNumberFormat="1" applyFont="1" applyBorder="1" applyAlignment="1"/>
    <xf numFmtId="4" fontId="64" fillId="0" borderId="89" xfId="0" applyNumberFormat="1" applyFont="1" applyBorder="1" applyAlignment="1"/>
    <xf numFmtId="4" fontId="64" fillId="0" borderId="90" xfId="0" applyNumberFormat="1" applyFont="1" applyBorder="1" applyAlignment="1"/>
    <xf numFmtId="10" fontId="66" fillId="0" borderId="77" xfId="0" applyNumberFormat="1" applyFont="1" applyBorder="1" applyAlignment="1">
      <alignment horizontal="center" vertical="center"/>
    </xf>
    <xf numFmtId="4" fontId="63" fillId="0" borderId="76" xfId="0" applyNumberFormat="1" applyFont="1" applyBorder="1" applyAlignment="1"/>
    <xf numFmtId="4" fontId="63" fillId="0" borderId="0" xfId="0" applyNumberFormat="1" applyFont="1" applyAlignment="1"/>
    <xf numFmtId="10" fontId="63" fillId="0" borderId="0" xfId="0" applyNumberFormat="1" applyFont="1" applyAlignment="1"/>
    <xf numFmtId="174" fontId="64" fillId="0" borderId="0" xfId="0" applyNumberFormat="1" applyFont="1" applyAlignment="1">
      <alignment horizontal="center"/>
    </xf>
    <xf numFmtId="174" fontId="64" fillId="0" borderId="0" xfId="0" applyNumberFormat="1" applyFont="1" applyAlignment="1"/>
    <xf numFmtId="4" fontId="64" fillId="0" borderId="91" xfId="0" applyNumberFormat="1" applyFont="1" applyBorder="1" applyAlignment="1"/>
    <xf numFmtId="4" fontId="64" fillId="0" borderId="92" xfId="0" applyNumberFormat="1" applyFont="1" applyBorder="1" applyAlignment="1"/>
    <xf numFmtId="4" fontId="64" fillId="0" borderId="93" xfId="0" applyNumberFormat="1" applyFont="1" applyBorder="1" applyAlignment="1"/>
    <xf numFmtId="0" fontId="5" fillId="0" borderId="20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 wrapText="1"/>
    </xf>
    <xf numFmtId="2" fontId="3" fillId="0" borderId="96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" fillId="0" borderId="4" xfId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0" fontId="5" fillId="3" borderId="97" xfId="1" applyFont="1" applyFill="1" applyBorder="1" applyAlignment="1">
      <alignment horizontal="center" vertical="center"/>
    </xf>
    <xf numFmtId="168" fontId="13" fillId="16" borderId="98" xfId="1" applyNumberFormat="1" applyFont="1" applyFill="1" applyBorder="1" applyAlignment="1">
      <alignment horizontal="center" vertical="center" wrapText="1"/>
    </xf>
    <xf numFmtId="168" fontId="13" fillId="16" borderId="99" xfId="1" applyNumberFormat="1" applyFont="1" applyFill="1" applyBorder="1" applyAlignment="1">
      <alignment horizontal="center" vertical="center" wrapText="1"/>
    </xf>
    <xf numFmtId="10" fontId="12" fillId="3" borderId="100" xfId="1" applyNumberFormat="1" applyFont="1" applyFill="1" applyBorder="1" applyAlignment="1">
      <alignment horizontal="center" vertical="center" wrapText="1"/>
    </xf>
    <xf numFmtId="168" fontId="12" fillId="16" borderId="101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54" xfId="0" applyFont="1" applyBorder="1"/>
    <xf numFmtId="0" fontId="3" fillId="0" borderId="4" xfId="0" applyFont="1" applyBorder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5" fillId="0" borderId="59" xfId="4" applyNumberFormat="1" applyFont="1" applyBorder="1" applyAlignment="1">
      <alignment horizontal="center" vertical="center" wrapText="1"/>
    </xf>
    <xf numFmtId="165" fontId="5" fillId="0" borderId="58" xfId="4" applyNumberFormat="1" applyFont="1" applyBorder="1" applyAlignment="1">
      <alignment horizontal="center" vertical="center" wrapText="1"/>
    </xf>
    <xf numFmtId="0" fontId="3" fillId="0" borderId="42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1" fillId="3" borderId="0" xfId="1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62" fillId="0" borderId="11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0" fillId="0" borderId="33" xfId="0" applyBorder="1"/>
    <xf numFmtId="0" fontId="0" fillId="0" borderId="39" xfId="0" applyBorder="1"/>
    <xf numFmtId="0" fontId="5" fillId="7" borderId="1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left" vertical="center"/>
    </xf>
    <xf numFmtId="0" fontId="41" fillId="0" borderId="37" xfId="0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9" fillId="15" borderId="20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left" vertical="center"/>
    </xf>
    <xf numFmtId="0" fontId="0" fillId="0" borderId="10" xfId="0" applyBorder="1"/>
    <xf numFmtId="0" fontId="0" fillId="0" borderId="9" xfId="0" applyBorder="1"/>
    <xf numFmtId="168" fontId="3" fillId="0" borderId="20" xfId="15" applyNumberFormat="1" applyFont="1" applyBorder="1" applyAlignment="1">
      <alignment horizontal="center" vertical="center" wrapText="1"/>
    </xf>
    <xf numFmtId="168" fontId="3" fillId="0" borderId="37" xfId="15" applyNumberFormat="1" applyFont="1" applyBorder="1" applyAlignment="1">
      <alignment horizontal="center" vertical="center" wrapText="1"/>
    </xf>
    <xf numFmtId="168" fontId="3" fillId="0" borderId="36" xfId="15" applyNumberFormat="1" applyFont="1" applyBorder="1" applyAlignment="1">
      <alignment horizontal="center" vertical="center" wrapText="1"/>
    </xf>
    <xf numFmtId="168" fontId="3" fillId="0" borderId="20" xfId="15" applyNumberFormat="1" applyFont="1" applyBorder="1" applyAlignment="1">
      <alignment horizontal="left" vertical="center" wrapText="1"/>
    </xf>
    <xf numFmtId="168" fontId="3" fillId="0" borderId="37" xfId="15" applyNumberFormat="1" applyFont="1" applyBorder="1" applyAlignment="1">
      <alignment horizontal="left" vertical="center" wrapText="1"/>
    </xf>
    <xf numFmtId="168" fontId="3" fillId="0" borderId="36" xfId="15" applyNumberFormat="1" applyFont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95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168" fontId="3" fillId="0" borderId="20" xfId="0" applyNumberFormat="1" applyFont="1" applyBorder="1" applyAlignment="1">
      <alignment horizontal="center" vertical="center"/>
    </xf>
    <xf numFmtId="168" fontId="0" fillId="0" borderId="37" xfId="0" applyNumberFormat="1" applyBorder="1" applyAlignment="1">
      <alignment horizontal="center" vertical="center"/>
    </xf>
    <xf numFmtId="168" fontId="0" fillId="0" borderId="36" xfId="0" applyNumberFormat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168" fontId="3" fillId="5" borderId="20" xfId="15" applyNumberFormat="1" applyFont="1" applyFill="1" applyBorder="1" applyAlignment="1">
      <alignment horizontal="center" vertical="center" wrapText="1"/>
    </xf>
    <xf numFmtId="168" fontId="3" fillId="5" borderId="37" xfId="15" applyNumberFormat="1" applyFont="1" applyFill="1" applyBorder="1" applyAlignment="1">
      <alignment horizontal="center" vertical="center" wrapText="1"/>
    </xf>
    <xf numFmtId="168" fontId="3" fillId="5" borderId="36" xfId="15" applyNumberFormat="1" applyFont="1" applyFill="1" applyBorder="1" applyAlignment="1">
      <alignment horizontal="center" vertical="center" wrapText="1"/>
    </xf>
    <xf numFmtId="168" fontId="3" fillId="0" borderId="3" xfId="15" applyNumberFormat="1" applyFont="1" applyBorder="1" applyAlignment="1">
      <alignment horizontal="center" vertical="center" wrapText="1"/>
    </xf>
    <xf numFmtId="168" fontId="3" fillId="0" borderId="2" xfId="15" applyNumberFormat="1" applyFont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2" fontId="5" fillId="3" borderId="30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53" xfId="1" applyNumberFormat="1" applyFont="1" applyFill="1" applyBorder="1" applyAlignment="1">
      <alignment horizontal="center" vertical="center"/>
    </xf>
    <xf numFmtId="2" fontId="5" fillId="3" borderId="51" xfId="1" applyNumberFormat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horizontal="center" vertical="center" wrapText="1"/>
    </xf>
    <xf numFmtId="0" fontId="15" fillId="3" borderId="16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 wrapText="1"/>
    </xf>
    <xf numFmtId="168" fontId="5" fillId="3" borderId="18" xfId="1" applyNumberFormat="1" applyFont="1" applyFill="1" applyBorder="1" applyAlignment="1">
      <alignment horizontal="center" vertical="center"/>
    </xf>
    <xf numFmtId="168" fontId="5" fillId="3" borderId="8" xfId="1" applyNumberFormat="1" applyFont="1" applyFill="1" applyBorder="1" applyAlignment="1">
      <alignment horizontal="center" vertical="center"/>
    </xf>
    <xf numFmtId="168" fontId="5" fillId="3" borderId="17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3" borderId="17" xfId="1" applyFont="1" applyFill="1" applyBorder="1" applyAlignment="1">
      <alignment horizontal="left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16" borderId="18" xfId="1" applyFont="1" applyFill="1" applyBorder="1" applyAlignment="1">
      <alignment horizontal="center" vertical="center"/>
    </xf>
    <xf numFmtId="0" fontId="5" fillId="16" borderId="8" xfId="1" applyFont="1" applyFill="1" applyBorder="1" applyAlignment="1">
      <alignment horizontal="center" vertical="center"/>
    </xf>
    <xf numFmtId="0" fontId="5" fillId="16" borderId="17" xfId="1" applyFont="1" applyFill="1" applyBorder="1" applyAlignment="1">
      <alignment horizontal="center" vertical="center"/>
    </xf>
    <xf numFmtId="168" fontId="5" fillId="3" borderId="10" xfId="1" applyNumberFormat="1" applyFont="1" applyFill="1" applyBorder="1" applyAlignment="1">
      <alignment horizontal="center" vertical="center"/>
    </xf>
    <xf numFmtId="168" fontId="5" fillId="3" borderId="61" xfId="1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4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0" fontId="5" fillId="3" borderId="56" xfId="1" applyFont="1" applyFill="1" applyBorder="1" applyAlignment="1">
      <alignment horizontal="center" vertical="center" wrapText="1"/>
    </xf>
    <xf numFmtId="2" fontId="5" fillId="3" borderId="30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53" xfId="1" applyNumberFormat="1" applyFont="1" applyFill="1" applyBorder="1" applyAlignment="1">
      <alignment horizontal="center" vertical="center" wrapText="1"/>
    </xf>
    <xf numFmtId="2" fontId="5" fillId="3" borderId="51" xfId="1" applyNumberFormat="1" applyFont="1" applyFill="1" applyBorder="1" applyAlignment="1">
      <alignment horizontal="center" vertical="center" wrapText="1"/>
    </xf>
    <xf numFmtId="10" fontId="66" fillId="0" borderId="79" xfId="0" applyNumberFormat="1" applyFont="1" applyBorder="1" applyAlignment="1">
      <alignment horizontal="center"/>
    </xf>
    <xf numFmtId="0" fontId="3" fillId="0" borderId="80" xfId="0" applyFont="1" applyBorder="1"/>
    <xf numFmtId="4" fontId="63" fillId="0" borderId="73" xfId="0" applyNumberFormat="1" applyFont="1" applyBorder="1" applyAlignment="1">
      <alignment horizontal="center"/>
    </xf>
    <xf numFmtId="0" fontId="3" fillId="0" borderId="74" xfId="0" applyFont="1" applyBorder="1"/>
    <xf numFmtId="0" fontId="3" fillId="0" borderId="75" xfId="0" applyFont="1" applyBorder="1"/>
    <xf numFmtId="4" fontId="64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3" fillId="0" borderId="77" xfId="0" applyFont="1" applyBorder="1"/>
    <xf numFmtId="4" fontId="66" fillId="0" borderId="0" xfId="0" applyNumberFormat="1" applyFont="1" applyAlignment="1">
      <alignment horizontal="left" vertical="center"/>
    </xf>
    <xf numFmtId="4" fontId="68" fillId="0" borderId="0" xfId="0" applyNumberFormat="1" applyFont="1" applyAlignment="1">
      <alignment horizontal="center" vertical="center"/>
    </xf>
    <xf numFmtId="49" fontId="64" fillId="0" borderId="0" xfId="0" applyNumberFormat="1" applyFont="1" applyAlignment="1">
      <alignment horizontal="center" vertical="center"/>
    </xf>
    <xf numFmtId="4" fontId="64" fillId="0" borderId="0" xfId="0" applyNumberFormat="1" applyFont="1" applyAlignment="1">
      <alignment horizontal="center" vertical="center"/>
    </xf>
    <xf numFmtId="10" fontId="64" fillId="0" borderId="89" xfId="0" applyNumberFormat="1" applyFont="1" applyBorder="1" applyAlignment="1">
      <alignment horizontal="center" vertical="center"/>
    </xf>
    <xf numFmtId="0" fontId="3" fillId="0" borderId="89" xfId="0" applyFont="1" applyBorder="1"/>
    <xf numFmtId="10" fontId="64" fillId="0" borderId="0" xfId="0" applyNumberFormat="1" applyFont="1" applyAlignment="1">
      <alignment horizontal="center" vertical="center"/>
    </xf>
    <xf numFmtId="10" fontId="63" fillId="0" borderId="0" xfId="0" applyNumberFormat="1" applyFont="1" applyAlignment="1">
      <alignment horizontal="center"/>
    </xf>
    <xf numFmtId="4" fontId="64" fillId="0" borderId="0" xfId="0" applyNumberFormat="1" applyFont="1" applyAlignment="1">
      <alignment horizontal="left"/>
    </xf>
    <xf numFmtId="0" fontId="16" fillId="0" borderId="11" xfId="19" applyFont="1" applyBorder="1" applyAlignment="1">
      <alignment horizontal="center" vertical="center"/>
    </xf>
    <xf numFmtId="0" fontId="3" fillId="0" borderId="10" xfId="19" applyBorder="1" applyAlignment="1">
      <alignment horizontal="center" vertical="center"/>
    </xf>
    <xf numFmtId="0" fontId="3" fillId="0" borderId="9" xfId="19" applyBorder="1" applyAlignment="1">
      <alignment horizontal="center" vertical="center"/>
    </xf>
    <xf numFmtId="0" fontId="3" fillId="0" borderId="13" xfId="19" applyBorder="1" applyAlignment="1">
      <alignment horizontal="center" vertical="center"/>
    </xf>
    <xf numFmtId="0" fontId="3" fillId="0" borderId="0" xfId="19" applyBorder="1" applyAlignment="1">
      <alignment horizontal="center" vertical="center"/>
    </xf>
    <xf numFmtId="0" fontId="3" fillId="0" borderId="12" xfId="19" applyBorder="1" applyAlignment="1">
      <alignment horizontal="center" vertical="center"/>
    </xf>
    <xf numFmtId="0" fontId="3" fillId="0" borderId="16" xfId="19" applyBorder="1" applyAlignment="1">
      <alignment horizontal="center" vertical="center"/>
    </xf>
    <xf numFmtId="0" fontId="3" fillId="0" borderId="15" xfId="19" applyBorder="1" applyAlignment="1">
      <alignment horizontal="center" vertical="center"/>
    </xf>
    <xf numFmtId="0" fontId="3" fillId="0" borderId="14" xfId="19" applyBorder="1" applyAlignment="1">
      <alignment horizontal="center" vertical="center"/>
    </xf>
    <xf numFmtId="0" fontId="17" fillId="0" borderId="40" xfId="19" applyFont="1" applyBorder="1" applyAlignment="1">
      <alignment horizontal="center" vertical="center"/>
    </xf>
    <xf numFmtId="0" fontId="17" fillId="0" borderId="33" xfId="19" applyFont="1" applyBorder="1" applyAlignment="1">
      <alignment horizontal="center" vertical="center"/>
    </xf>
    <xf numFmtId="0" fontId="17" fillId="0" borderId="39" xfId="19" applyFont="1" applyBorder="1" applyAlignment="1">
      <alignment horizontal="center" vertical="center"/>
    </xf>
    <xf numFmtId="0" fontId="18" fillId="0" borderId="38" xfId="19" applyFont="1" applyBorder="1" applyAlignment="1">
      <alignment horizontal="center"/>
    </xf>
    <xf numFmtId="0" fontId="18" fillId="0" borderId="37" xfId="19" applyFont="1" applyBorder="1" applyAlignment="1">
      <alignment horizontal="center"/>
    </xf>
    <xf numFmtId="0" fontId="18" fillId="0" borderId="36" xfId="19" applyFont="1" applyBorder="1" applyAlignment="1">
      <alignment horizontal="center"/>
    </xf>
    <xf numFmtId="0" fontId="19" fillId="0" borderId="38" xfId="19" applyFont="1" applyBorder="1" applyAlignment="1">
      <alignment horizontal="center" vertical="center" wrapText="1"/>
    </xf>
    <xf numFmtId="0" fontId="19" fillId="0" borderId="37" xfId="19" applyFont="1" applyBorder="1" applyAlignment="1">
      <alignment horizontal="center" vertical="center" wrapText="1"/>
    </xf>
    <xf numFmtId="0" fontId="19" fillId="0" borderId="5" xfId="19" applyFont="1" applyBorder="1" applyAlignment="1">
      <alignment horizontal="center" vertical="center" wrapText="1"/>
    </xf>
    <xf numFmtId="0" fontId="19" fillId="0" borderId="20" xfId="19" applyFont="1" applyBorder="1" applyAlignment="1">
      <alignment horizontal="center" vertical="center" wrapText="1"/>
    </xf>
    <xf numFmtId="0" fontId="19" fillId="0" borderId="37" xfId="19" applyFont="1" applyBorder="1" applyAlignment="1">
      <alignment horizontal="center" vertical="center"/>
    </xf>
    <xf numFmtId="0" fontId="19" fillId="0" borderId="5" xfId="19" applyFont="1" applyBorder="1" applyAlignment="1">
      <alignment horizontal="center" vertical="center"/>
    </xf>
    <xf numFmtId="0" fontId="20" fillId="0" borderId="3" xfId="19" applyFont="1" applyBorder="1" applyAlignment="1">
      <alignment horizontal="left" vertical="top"/>
    </xf>
    <xf numFmtId="0" fontId="18" fillId="0" borderId="2" xfId="19" applyFont="1" applyBorder="1" applyAlignment="1">
      <alignment horizontal="left" vertical="top"/>
    </xf>
    <xf numFmtId="0" fontId="20" fillId="0" borderId="43" xfId="19" applyFont="1" applyBorder="1" applyAlignment="1">
      <alignment horizontal="left" vertical="center" wrapText="1"/>
    </xf>
    <xf numFmtId="0" fontId="20" fillId="0" borderId="29" xfId="19" applyFont="1" applyBorder="1" applyAlignment="1">
      <alignment horizontal="left" vertical="center"/>
    </xf>
    <xf numFmtId="0" fontId="20" fillId="0" borderId="7" xfId="19" applyFont="1" applyBorder="1" applyAlignment="1">
      <alignment horizontal="left" vertical="center"/>
    </xf>
    <xf numFmtId="0" fontId="20" fillId="0" borderId="50" xfId="19" applyFont="1" applyBorder="1" applyAlignment="1">
      <alignment horizontal="left" vertical="center"/>
    </xf>
    <xf numFmtId="0" fontId="20" fillId="0" borderId="42" xfId="19" applyFont="1" applyBorder="1" applyAlignment="1">
      <alignment horizontal="left" vertical="center"/>
    </xf>
    <xf numFmtId="0" fontId="20" fillId="0" borderId="51" xfId="19" applyFont="1" applyBorder="1" applyAlignment="1">
      <alignment horizontal="left" vertical="center"/>
    </xf>
    <xf numFmtId="0" fontId="18" fillId="0" borderId="20" xfId="19" applyFont="1" applyBorder="1" applyAlignment="1">
      <alignment horizontal="left" vertical="center"/>
    </xf>
    <xf numFmtId="0" fontId="18" fillId="0" borderId="37" xfId="19" applyFont="1" applyBorder="1" applyAlignment="1">
      <alignment horizontal="left" vertical="center"/>
    </xf>
    <xf numFmtId="0" fontId="18" fillId="0" borderId="5" xfId="19" applyFont="1" applyBorder="1" applyAlignment="1">
      <alignment horizontal="left" vertical="center"/>
    </xf>
    <xf numFmtId="0" fontId="18" fillId="0" borderId="36" xfId="19" applyFont="1" applyBorder="1" applyAlignment="1">
      <alignment horizontal="left" vertical="center"/>
    </xf>
    <xf numFmtId="0" fontId="20" fillId="0" borderId="2" xfId="19" applyFont="1" applyBorder="1" applyAlignment="1">
      <alignment horizontal="center" vertical="center"/>
    </xf>
    <xf numFmtId="0" fontId="20" fillId="0" borderId="52" xfId="19" applyFont="1" applyBorder="1" applyAlignment="1">
      <alignment horizontal="center" vertical="center"/>
    </xf>
    <xf numFmtId="170" fontId="24" fillId="0" borderId="54" xfId="19" applyNumberFormat="1" applyFont="1" applyBorder="1" applyAlignment="1">
      <alignment horizontal="center" vertical="center"/>
    </xf>
    <xf numFmtId="0" fontId="21" fillId="0" borderId="6" xfId="19" applyFont="1" applyBorder="1" applyAlignment="1">
      <alignment horizontal="center" vertical="center"/>
    </xf>
    <xf numFmtId="0" fontId="21" fillId="0" borderId="49" xfId="19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1" fillId="0" borderId="4" xfId="19" applyFont="1" applyBorder="1" applyAlignment="1">
      <alignment horizontal="center" vertical="center"/>
    </xf>
    <xf numFmtId="0" fontId="21" fillId="0" borderId="4" xfId="19" applyFont="1" applyBorder="1" applyAlignment="1">
      <alignment horizontal="justify" vertical="center"/>
    </xf>
    <xf numFmtId="0" fontId="21" fillId="0" borderId="57" xfId="19" applyFont="1" applyBorder="1" applyAlignment="1">
      <alignment horizontal="justify" vertical="center"/>
    </xf>
    <xf numFmtId="0" fontId="21" fillId="0" borderId="54" xfId="19" applyFont="1" applyBorder="1" applyAlignment="1">
      <alignment horizontal="justify" vertical="center"/>
    </xf>
    <xf numFmtId="0" fontId="21" fillId="0" borderId="3" xfId="19" applyFont="1" applyBorder="1" applyAlignment="1">
      <alignment horizontal="center" vertical="center" wrapText="1"/>
    </xf>
    <xf numFmtId="0" fontId="21" fillId="0" borderId="43" xfId="19" applyFont="1" applyBorder="1" applyAlignment="1">
      <alignment horizontal="left" vertical="center" wrapText="1"/>
    </xf>
    <xf numFmtId="0" fontId="1" fillId="0" borderId="29" xfId="20" applyBorder="1"/>
    <xf numFmtId="0" fontId="1" fillId="0" borderId="7" xfId="20" applyBorder="1"/>
    <xf numFmtId="0" fontId="1" fillId="0" borderId="13" xfId="20" applyBorder="1"/>
    <xf numFmtId="0" fontId="1" fillId="0" borderId="0" xfId="20" applyBorder="1"/>
    <xf numFmtId="0" fontId="1" fillId="0" borderId="41" xfId="20" applyBorder="1"/>
    <xf numFmtId="0" fontId="1" fillId="0" borderId="50" xfId="20" applyBorder="1"/>
    <xf numFmtId="0" fontId="1" fillId="0" borderId="42" xfId="20" applyBorder="1"/>
    <xf numFmtId="0" fontId="1" fillId="0" borderId="51" xfId="20" applyBorder="1"/>
    <xf numFmtId="0" fontId="20" fillId="0" borderId="3" xfId="19" applyFont="1" applyBorder="1" applyAlignment="1">
      <alignment horizontal="center" vertical="center"/>
    </xf>
    <xf numFmtId="0" fontId="20" fillId="0" borderId="4" xfId="19" applyFont="1" applyBorder="1" applyAlignment="1">
      <alignment horizontal="center" vertical="center"/>
    </xf>
    <xf numFmtId="0" fontId="18" fillId="0" borderId="30" xfId="19" applyFont="1" applyBorder="1" applyAlignment="1">
      <alignment horizontal="center" vertical="center" wrapText="1"/>
    </xf>
    <xf numFmtId="0" fontId="18" fillId="0" borderId="7" xfId="19" applyFont="1" applyBorder="1" applyAlignment="1">
      <alignment horizontal="center" vertical="center" wrapText="1"/>
    </xf>
    <xf numFmtId="0" fontId="18" fillId="0" borderId="26" xfId="19" applyFont="1" applyBorder="1" applyAlignment="1">
      <alignment horizontal="center" vertical="center" wrapText="1"/>
    </xf>
    <xf numFmtId="0" fontId="18" fillId="0" borderId="41" xfId="19" applyFont="1" applyBorder="1" applyAlignment="1">
      <alignment horizontal="center" vertical="center" wrapText="1"/>
    </xf>
    <xf numFmtId="0" fontId="18" fillId="0" borderId="53" xfId="19" applyFont="1" applyBorder="1" applyAlignment="1">
      <alignment horizontal="center" vertical="center" wrapText="1"/>
    </xf>
    <xf numFmtId="0" fontId="18" fillId="0" borderId="51" xfId="19" applyFont="1" applyBorder="1" applyAlignment="1">
      <alignment horizontal="center" vertical="center" wrapText="1"/>
    </xf>
    <xf numFmtId="0" fontId="21" fillId="0" borderId="2" xfId="19" applyFont="1" applyBorder="1" applyAlignment="1">
      <alignment horizontal="center" vertical="center"/>
    </xf>
    <xf numFmtId="0" fontId="6" fillId="0" borderId="30" xfId="19" applyFont="1" applyBorder="1" applyAlignment="1">
      <alignment horizontal="left" vertical="top" wrapText="1"/>
    </xf>
    <xf numFmtId="0" fontId="6" fillId="0" borderId="48" xfId="19" applyFont="1" applyBorder="1" applyAlignment="1">
      <alignment horizontal="left" vertical="top"/>
    </xf>
    <xf numFmtId="0" fontId="6" fillId="0" borderId="26" xfId="19" applyFont="1" applyBorder="1" applyAlignment="1">
      <alignment horizontal="left" vertical="top"/>
    </xf>
    <xf numFmtId="0" fontId="6" fillId="0" borderId="12" xfId="19" applyFont="1" applyBorder="1" applyAlignment="1">
      <alignment horizontal="left" vertical="top"/>
    </xf>
    <xf numFmtId="2" fontId="20" fillId="0" borderId="20" xfId="20" applyNumberFormat="1" applyFont="1" applyBorder="1" applyAlignment="1">
      <alignment horizontal="left" vertical="center" wrapText="1"/>
    </xf>
    <xf numFmtId="0" fontId="20" fillId="0" borderId="37" xfId="20" applyFont="1" applyBorder="1" applyAlignment="1">
      <alignment horizontal="left" vertical="center" wrapText="1"/>
    </xf>
    <xf numFmtId="0" fontId="20" fillId="0" borderId="5" xfId="20" applyFont="1" applyBorder="1" applyAlignment="1">
      <alignment horizontal="left" vertical="center" wrapText="1"/>
    </xf>
    <xf numFmtId="0" fontId="32" fillId="0" borderId="20" xfId="19" applyFont="1" applyBorder="1" applyAlignment="1">
      <alignment horizontal="center" vertical="center" wrapText="1"/>
    </xf>
    <xf numFmtId="0" fontId="32" fillId="0" borderId="37" xfId="19" applyFont="1" applyBorder="1" applyAlignment="1">
      <alignment horizontal="center" vertical="center" wrapText="1"/>
    </xf>
    <xf numFmtId="0" fontId="32" fillId="0" borderId="5" xfId="19" applyFont="1" applyBorder="1" applyAlignment="1">
      <alignment horizontal="center" vertical="center" wrapText="1"/>
    </xf>
    <xf numFmtId="0" fontId="37" fillId="0" borderId="43" xfId="19" applyFont="1" applyBorder="1" applyAlignment="1">
      <alignment horizontal="left" vertical="center" wrapText="1"/>
    </xf>
    <xf numFmtId="0" fontId="37" fillId="0" borderId="29" xfId="19" applyFont="1" applyBorder="1" applyAlignment="1">
      <alignment horizontal="left" vertical="center"/>
    </xf>
    <xf numFmtId="0" fontId="37" fillId="0" borderId="7" xfId="19" applyFont="1" applyBorder="1" applyAlignment="1">
      <alignment horizontal="left" vertical="center"/>
    </xf>
    <xf numFmtId="0" fontId="37" fillId="0" borderId="50" xfId="19" applyFont="1" applyBorder="1" applyAlignment="1">
      <alignment horizontal="left" vertical="center"/>
    </xf>
    <xf numFmtId="0" fontId="37" fillId="0" borderId="42" xfId="19" applyFont="1" applyBorder="1" applyAlignment="1">
      <alignment horizontal="left" vertical="center"/>
    </xf>
    <xf numFmtId="0" fontId="37" fillId="0" borderId="51" xfId="19" applyFont="1" applyBorder="1" applyAlignment="1">
      <alignment horizontal="left" vertical="center"/>
    </xf>
    <xf numFmtId="0" fontId="6" fillId="0" borderId="30" xfId="19" applyFont="1" applyBorder="1" applyAlignment="1">
      <alignment horizontal="left" vertical="top"/>
    </xf>
    <xf numFmtId="0" fontId="6" fillId="0" borderId="29" xfId="19" applyFont="1" applyBorder="1" applyAlignment="1">
      <alignment horizontal="left" vertical="top"/>
    </xf>
    <xf numFmtId="0" fontId="6" fillId="0" borderId="7" xfId="19" applyFont="1" applyBorder="1" applyAlignment="1">
      <alignment horizontal="left" vertical="top"/>
    </xf>
    <xf numFmtId="0" fontId="6" fillId="0" borderId="53" xfId="19" applyFont="1" applyBorder="1" applyAlignment="1">
      <alignment horizontal="left" vertical="top"/>
    </xf>
    <xf numFmtId="0" fontId="6" fillId="0" borderId="42" xfId="19" applyFont="1" applyBorder="1" applyAlignment="1">
      <alignment horizontal="left" vertical="top"/>
    </xf>
    <xf numFmtId="0" fontId="6" fillId="0" borderId="51" xfId="19" applyFont="1" applyBorder="1" applyAlignment="1">
      <alignment horizontal="left" vertical="top"/>
    </xf>
    <xf numFmtId="0" fontId="6" fillId="0" borderId="20" xfId="19" applyFont="1" applyBorder="1" applyAlignment="1">
      <alignment horizontal="left" wrapText="1"/>
    </xf>
    <xf numFmtId="0" fontId="6" fillId="0" borderId="37" xfId="19" applyFont="1" applyBorder="1" applyAlignment="1">
      <alignment horizontal="left"/>
    </xf>
    <xf numFmtId="0" fontId="6" fillId="0" borderId="5" xfId="19" applyFont="1" applyBorder="1" applyAlignment="1">
      <alignment horizontal="left"/>
    </xf>
    <xf numFmtId="0" fontId="6" fillId="0" borderId="30" xfId="19" applyFont="1" applyBorder="1" applyAlignment="1">
      <alignment horizontal="left"/>
    </xf>
    <xf numFmtId="0" fontId="6" fillId="0" borderId="29" xfId="19" applyFont="1" applyBorder="1" applyAlignment="1">
      <alignment horizontal="left"/>
    </xf>
    <xf numFmtId="0" fontId="6" fillId="0" borderId="7" xfId="19" applyFont="1" applyBorder="1" applyAlignment="1">
      <alignment horizontal="left"/>
    </xf>
    <xf numFmtId="171" fontId="20" fillId="0" borderId="38" xfId="19" applyNumberFormat="1" applyFont="1" applyFill="1" applyBorder="1" applyAlignment="1">
      <alignment horizontal="center" vertical="top"/>
    </xf>
    <xf numFmtId="171" fontId="20" fillId="0" borderId="37" xfId="19" applyNumberFormat="1" applyFont="1" applyFill="1" applyBorder="1" applyAlignment="1">
      <alignment horizontal="center" vertical="top"/>
    </xf>
    <xf numFmtId="171" fontId="20" fillId="0" borderId="36" xfId="19" applyNumberFormat="1" applyFont="1" applyFill="1" applyBorder="1" applyAlignment="1">
      <alignment horizontal="center" vertical="top"/>
    </xf>
    <xf numFmtId="0" fontId="6" fillId="0" borderId="38" xfId="19" applyFont="1" applyBorder="1" applyAlignment="1">
      <alignment horizontal="left" vertical="top" wrapText="1"/>
    </xf>
    <xf numFmtId="0" fontId="6" fillId="0" borderId="5" xfId="19" applyFont="1" applyBorder="1" applyAlignment="1">
      <alignment horizontal="left" vertical="top" wrapText="1"/>
    </xf>
    <xf numFmtId="0" fontId="6" fillId="0" borderId="43" xfId="19" applyFont="1" applyBorder="1" applyAlignment="1">
      <alignment horizontal="left" vertical="top" wrapText="1"/>
    </xf>
    <xf numFmtId="0" fontId="6" fillId="0" borderId="7" xfId="19" applyFont="1" applyBorder="1" applyAlignment="1">
      <alignment horizontal="left" vertical="top" wrapText="1"/>
    </xf>
    <xf numFmtId="0" fontId="6" fillId="0" borderId="30" xfId="19" applyFont="1" applyBorder="1" applyAlignment="1">
      <alignment wrapText="1"/>
    </xf>
    <xf numFmtId="0" fontId="6" fillId="0" borderId="29" xfId="19" applyFont="1" applyBorder="1" applyAlignment="1"/>
    <xf numFmtId="0" fontId="6" fillId="0" borderId="7" xfId="19" applyFont="1" applyBorder="1" applyAlignment="1"/>
    <xf numFmtId="0" fontId="6" fillId="0" borderId="26" xfId="19" applyFont="1" applyBorder="1" applyAlignment="1"/>
    <xf numFmtId="0" fontId="6" fillId="0" borderId="0" xfId="19" applyFont="1" applyBorder="1" applyAlignment="1"/>
    <xf numFmtId="0" fontId="6" fillId="0" borderId="41" xfId="19" applyFont="1" applyBorder="1" applyAlignment="1"/>
    <xf numFmtId="0" fontId="6" fillId="0" borderId="20" xfId="19" applyFont="1" applyBorder="1" applyAlignment="1">
      <alignment horizontal="left" vertical="top" wrapText="1"/>
    </xf>
    <xf numFmtId="2" fontId="26" fillId="0" borderId="20" xfId="1" applyNumberFormat="1" applyFont="1" applyBorder="1" applyAlignment="1">
      <alignment horizontal="justify" vertical="center"/>
    </xf>
    <xf numFmtId="0" fontId="26" fillId="0" borderId="37" xfId="1" applyFont="1" applyBorder="1" applyAlignment="1">
      <alignment horizontal="justify" vertical="center"/>
    </xf>
    <xf numFmtId="0" fontId="26" fillId="0" borderId="5" xfId="1" applyFont="1" applyBorder="1" applyAlignment="1">
      <alignment horizontal="justify" vertical="center"/>
    </xf>
    <xf numFmtId="0" fontId="6" fillId="0" borderId="13" xfId="19" applyFont="1" applyBorder="1" applyAlignment="1">
      <alignment horizontal="center" vertical="top" wrapText="1"/>
    </xf>
    <xf numFmtId="0" fontId="6" fillId="0" borderId="41" xfId="19" applyFont="1" applyBorder="1" applyAlignment="1">
      <alignment horizontal="center" vertical="top" wrapText="1"/>
    </xf>
    <xf numFmtId="0" fontId="6" fillId="0" borderId="26" xfId="19" applyFont="1" applyBorder="1" applyAlignment="1">
      <alignment horizontal="center" vertical="top" wrapText="1"/>
    </xf>
    <xf numFmtId="0" fontId="6" fillId="0" borderId="0" xfId="19" applyFont="1" applyBorder="1" applyAlignment="1">
      <alignment horizontal="center" vertical="top" wrapText="1"/>
    </xf>
    <xf numFmtId="0" fontId="6" fillId="0" borderId="26" xfId="19" applyFont="1" applyBorder="1" applyAlignment="1">
      <alignment horizontal="center"/>
    </xf>
    <xf numFmtId="0" fontId="6" fillId="0" borderId="0" xfId="19" applyFont="1" applyBorder="1" applyAlignment="1">
      <alignment horizontal="center"/>
    </xf>
    <xf numFmtId="0" fontId="6" fillId="0" borderId="41" xfId="19" applyFont="1" applyBorder="1" applyAlignment="1">
      <alignment horizontal="center"/>
    </xf>
    <xf numFmtId="170" fontId="34" fillId="0" borderId="26" xfId="19" applyNumberFormat="1" applyFont="1" applyBorder="1" applyAlignment="1">
      <alignment horizontal="center" vertical="center"/>
    </xf>
    <xf numFmtId="170" fontId="34" fillId="0" borderId="12" xfId="19" applyNumberFormat="1" applyFont="1" applyBorder="1" applyAlignment="1">
      <alignment horizontal="center" vertical="center"/>
    </xf>
    <xf numFmtId="170" fontId="34" fillId="0" borderId="24" xfId="19" applyNumberFormat="1" applyFont="1" applyBorder="1" applyAlignment="1">
      <alignment horizontal="center" vertical="center"/>
    </xf>
    <xf numFmtId="170" fontId="34" fillId="0" borderId="14" xfId="19" applyNumberFormat="1" applyFont="1" applyBorder="1" applyAlignment="1">
      <alignment horizontal="center" vertical="center"/>
    </xf>
    <xf numFmtId="0" fontId="6" fillId="0" borderId="50" xfId="19" applyFont="1" applyBorder="1" applyAlignment="1">
      <alignment horizontal="center"/>
    </xf>
    <xf numFmtId="0" fontId="6" fillId="0" borderId="51" xfId="19" applyFont="1" applyBorder="1" applyAlignment="1">
      <alignment horizontal="center"/>
    </xf>
    <xf numFmtId="0" fontId="6" fillId="0" borderId="47" xfId="19" applyFont="1" applyBorder="1" applyAlignment="1">
      <alignment horizontal="center"/>
    </xf>
    <xf numFmtId="0" fontId="6" fillId="0" borderId="19" xfId="19" applyFont="1" applyBorder="1" applyAlignment="1">
      <alignment horizontal="center"/>
    </xf>
    <xf numFmtId="0" fontId="6" fillId="0" borderId="24" xfId="19" applyFont="1" applyBorder="1" applyAlignment="1">
      <alignment horizontal="center"/>
    </xf>
    <xf numFmtId="0" fontId="6" fillId="0" borderId="15" xfId="19" applyFont="1" applyBorder="1" applyAlignment="1">
      <alignment horizontal="center"/>
    </xf>
    <xf numFmtId="0" fontId="6" fillId="0" borderId="1" xfId="19" applyFont="1" applyBorder="1" applyAlignment="1">
      <alignment horizontal="center"/>
    </xf>
    <xf numFmtId="0" fontId="6" fillId="0" borderId="53" xfId="19" applyFont="1" applyBorder="1" applyAlignment="1">
      <alignment horizontal="center"/>
    </xf>
    <xf numFmtId="0" fontId="6" fillId="0" borderId="46" xfId="19" applyFont="1" applyBorder="1" applyAlignment="1">
      <alignment horizontal="center"/>
    </xf>
    <xf numFmtId="0" fontId="6" fillId="0" borderId="42" xfId="19" applyFont="1" applyBorder="1" applyAlignment="1">
      <alignment horizontal="center"/>
    </xf>
    <xf numFmtId="0" fontId="6" fillId="0" borderId="35" xfId="19" applyFont="1" applyBorder="1" applyAlignment="1">
      <alignment horizontal="center"/>
    </xf>
  </cellXfs>
  <cellStyles count="49">
    <cellStyle name="Accent 1 14" xfId="27"/>
    <cellStyle name="Accent 13" xfId="28"/>
    <cellStyle name="Accent 2 15" xfId="29"/>
    <cellStyle name="Accent 3 16" xfId="30"/>
    <cellStyle name="Bad 10" xfId="31"/>
    <cellStyle name="Error 12" xfId="32"/>
    <cellStyle name="Excel Built-in Excel Built-in Excel B" xfId="45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46"/>
    <cellStyle name="Footnote 5" xfId="33"/>
    <cellStyle name="Good 8" xfId="34"/>
    <cellStyle name="Heading 1 1" xfId="35"/>
    <cellStyle name="Heading 2 2" xfId="36"/>
    <cellStyle name="Hiperlink 2" xfId="3"/>
    <cellStyle name="Hyperlink 6" xfId="37"/>
    <cellStyle name="Moeda 2" xfId="4"/>
    <cellStyle name="Moeda 3" xfId="5"/>
    <cellStyle name="Moeda 4" xfId="6"/>
    <cellStyle name="Moeda 5" xfId="23"/>
    <cellStyle name="Neutral 9" xfId="38"/>
    <cellStyle name="Normal" xfId="0" builtinId="0"/>
    <cellStyle name="Normal 2" xfId="1"/>
    <cellStyle name="Normal 2 2" xfId="7"/>
    <cellStyle name="Normal 2 3" xfId="39"/>
    <cellStyle name="Normal 3" xfId="8"/>
    <cellStyle name="Normal 3 3" xfId="47"/>
    <cellStyle name="Normal 4" xfId="20"/>
    <cellStyle name="Normal 5" xfId="24"/>
    <cellStyle name="Normal_MURO JK - 21 m" xfId="19"/>
    <cellStyle name="Normal_Planilha - Ponte angola vão 12 m" xfId="21"/>
    <cellStyle name="Note 4" xfId="40"/>
    <cellStyle name="Porcentagem 2" xfId="9"/>
    <cellStyle name="Porcentagem 3" xfId="10"/>
    <cellStyle name="Porcentagem 4" xfId="26"/>
    <cellStyle name="Separador de milhares 2" xfId="2"/>
    <cellStyle name="Separador de milhares 2 2" xfId="11"/>
    <cellStyle name="Separador de milhares 3" xfId="12"/>
    <cellStyle name="Separador de milhares 4" xfId="13"/>
    <cellStyle name="Separador de milhares 4 2" xfId="14"/>
    <cellStyle name="Separador de milhares 5" xfId="22"/>
    <cellStyle name="Status 7" xfId="41"/>
    <cellStyle name="Text 3" xfId="42"/>
    <cellStyle name="Título 5" xfId="43"/>
    <cellStyle name="Vírgula" xfId="48" builtinId="3"/>
    <cellStyle name="Vírgula 2" xfId="15"/>
    <cellStyle name="Vírgula 2 2" xfId="16"/>
    <cellStyle name="Vírgula 3" xfId="17"/>
    <cellStyle name="Vírgula 4" xfId="25"/>
    <cellStyle name="Währung" xfId="18"/>
    <cellStyle name="Warning 11" xfId="44"/>
  </cellStyles>
  <dxfs count="6">
    <dxf>
      <font>
        <b/>
        <i/>
        <condense val="0"/>
        <extend val="0"/>
      </font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/>
        <i val="0"/>
        <condense val="0"/>
        <extend val="0"/>
      </font>
      <fill>
        <patternFill patternType="solid">
          <fgColor indexed="31"/>
          <bgColor indexed="22"/>
        </patternFill>
      </fill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/>
        <i/>
        <condense val="0"/>
        <extend val="0"/>
      </font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/>
        <i val="0"/>
        <condense val="0"/>
        <extend val="0"/>
      </font>
      <fill>
        <patternFill patternType="solid">
          <fgColor indexed="31"/>
          <bgColor indexed="22"/>
        </patternFill>
      </fill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</dxfs>
  <tableStyles count="0" defaultTableStyle="TableStyleMedium9" defaultPivotStyle="PivotStyleLight16"/>
  <colors>
    <mruColors>
      <color rgb="FFDEFEE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364066</xdr:colOff>
      <xdr:row>0</xdr:row>
      <xdr:rowOff>76200</xdr:rowOff>
    </xdr:from>
    <xdr:to>
      <xdr:col>4</xdr:col>
      <xdr:colOff>543927</xdr:colOff>
      <xdr:row>5</xdr:row>
      <xdr:rowOff>821267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99" y="76200"/>
          <a:ext cx="1568395" cy="1591734"/>
        </a:xfrm>
        <a:prstGeom prst="rect">
          <a:avLst/>
        </a:prstGeom>
      </xdr:spPr>
    </xdr:pic>
    <xdr:clientData/>
  </xdr:twoCellAnchor>
  <xdr:oneCellAnchor>
    <xdr:from>
      <xdr:col>4</xdr:col>
      <xdr:colOff>1386415</xdr:colOff>
      <xdr:row>175</xdr:row>
      <xdr:rowOff>116416</xdr:rowOff>
    </xdr:from>
    <xdr:ext cx="1737359" cy="434340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8" y="60324999"/>
          <a:ext cx="1737359" cy="4343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318346</xdr:colOff>
      <xdr:row>1</xdr:row>
      <xdr:rowOff>1</xdr:rowOff>
    </xdr:from>
    <xdr:to>
      <xdr:col>3</xdr:col>
      <xdr:colOff>31485</xdr:colOff>
      <xdr:row>5</xdr:row>
      <xdr:rowOff>693421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346" y="171451"/>
          <a:ext cx="1303814" cy="1379220"/>
        </a:xfrm>
        <a:prstGeom prst="rect">
          <a:avLst/>
        </a:prstGeom>
      </xdr:spPr>
    </xdr:pic>
    <xdr:clientData/>
  </xdr:twoCellAnchor>
  <xdr:oneCellAnchor>
    <xdr:from>
      <xdr:col>3</xdr:col>
      <xdr:colOff>1381125</xdr:colOff>
      <xdr:row>173</xdr:row>
      <xdr:rowOff>59530</xdr:rowOff>
    </xdr:from>
    <xdr:ext cx="1737359" cy="434340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844" y="66663093"/>
          <a:ext cx="1737359" cy="43434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99061</xdr:colOff>
      <xdr:row>0</xdr:row>
      <xdr:rowOff>60960</xdr:rowOff>
    </xdr:from>
    <xdr:to>
      <xdr:col>2</xdr:col>
      <xdr:colOff>609601</xdr:colOff>
      <xdr:row>4</xdr:row>
      <xdr:rowOff>528796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1" y="60960"/>
          <a:ext cx="1226820" cy="1245076"/>
        </a:xfrm>
        <a:prstGeom prst="rect">
          <a:avLst/>
        </a:prstGeom>
      </xdr:spPr>
    </xdr:pic>
    <xdr:clientData/>
  </xdr:twoCellAnchor>
  <xdr:oneCellAnchor>
    <xdr:from>
      <xdr:col>2</xdr:col>
      <xdr:colOff>819150</xdr:colOff>
      <xdr:row>46</xdr:row>
      <xdr:rowOff>38100</xdr:rowOff>
    </xdr:from>
    <xdr:ext cx="1737359" cy="434340"/>
    <xdr:pic>
      <xdr:nvPicPr>
        <xdr:cNvPr id="4" name="image2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791700"/>
          <a:ext cx="1737359" cy="43434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23</xdr:row>
      <xdr:rowOff>123825</xdr:rowOff>
    </xdr:from>
    <xdr:ext cx="47625" cy="314325"/>
    <xdr:sp macro="" textlink="">
      <xdr:nvSpPr>
        <xdr:cNvPr id="2" name="Shape 3"/>
        <xdr:cNvSpPr/>
      </xdr:nvSpPr>
      <xdr:spPr>
        <a:xfrm>
          <a:off x="1609725" y="4200525"/>
          <a:ext cx="47625" cy="314325"/>
        </a:xfrm>
        <a:custGeom>
          <a:avLst/>
          <a:gdLst/>
          <a:ahLst/>
          <a:cxnLst/>
          <a:rect l="l" t="t" r="r" b="b"/>
          <a:pathLst>
            <a:path w="128" h="844" extrusionOk="0">
              <a:moveTo>
                <a:pt x="127" y="0"/>
              </a:moveTo>
              <a:cubicBezTo>
                <a:pt x="63" y="0"/>
                <a:pt x="0" y="35"/>
                <a:pt x="0" y="70"/>
              </a:cubicBezTo>
              <a:lnTo>
                <a:pt x="0" y="772"/>
              </a:lnTo>
              <a:cubicBezTo>
                <a:pt x="0" y="807"/>
                <a:pt x="63" y="843"/>
                <a:pt x="127" y="843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76200</xdr:colOff>
      <xdr:row>29</xdr:row>
      <xdr:rowOff>114300</xdr:rowOff>
    </xdr:from>
    <xdr:ext cx="57150" cy="400050"/>
    <xdr:sp macro="" textlink="">
      <xdr:nvSpPr>
        <xdr:cNvPr id="3" name="Shape 4"/>
        <xdr:cNvSpPr/>
      </xdr:nvSpPr>
      <xdr:spPr>
        <a:xfrm>
          <a:off x="3909060" y="5242560"/>
          <a:ext cx="57150" cy="400050"/>
        </a:xfrm>
        <a:custGeom>
          <a:avLst/>
          <a:gdLst/>
          <a:ahLst/>
          <a:cxnLst/>
          <a:rect l="l" t="t" r="r" b="b"/>
          <a:pathLst>
            <a:path w="154" h="1082" extrusionOk="0">
              <a:moveTo>
                <a:pt x="0" y="0"/>
              </a:moveTo>
              <a:cubicBezTo>
                <a:pt x="76" y="0"/>
                <a:pt x="153" y="45"/>
                <a:pt x="153" y="90"/>
              </a:cubicBezTo>
              <a:lnTo>
                <a:pt x="153" y="990"/>
              </a:lnTo>
              <a:cubicBezTo>
                <a:pt x="153" y="1035"/>
                <a:pt x="76" y="1081"/>
                <a:pt x="0" y="1081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30</xdr:row>
      <xdr:rowOff>0</xdr:rowOff>
    </xdr:from>
    <xdr:ext cx="47625" cy="304800"/>
    <xdr:sp macro="" textlink="">
      <xdr:nvSpPr>
        <xdr:cNvPr id="4" name="Shape 5"/>
        <xdr:cNvSpPr/>
      </xdr:nvSpPr>
      <xdr:spPr>
        <a:xfrm>
          <a:off x="952500" y="5303520"/>
          <a:ext cx="47625" cy="304800"/>
        </a:xfrm>
        <a:custGeom>
          <a:avLst/>
          <a:gdLst/>
          <a:ahLst/>
          <a:cxnLst/>
          <a:rect l="l" t="t" r="r" b="b"/>
          <a:pathLst>
            <a:path w="128" h="839" extrusionOk="0">
              <a:moveTo>
                <a:pt x="127" y="0"/>
              </a:moveTo>
              <a:cubicBezTo>
                <a:pt x="63" y="0"/>
                <a:pt x="0" y="34"/>
                <a:pt x="0" y="69"/>
              </a:cubicBezTo>
              <a:lnTo>
                <a:pt x="0" y="768"/>
              </a:lnTo>
              <a:cubicBezTo>
                <a:pt x="0" y="803"/>
                <a:pt x="63" y="838"/>
                <a:pt x="127" y="838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581025</xdr:colOff>
      <xdr:row>23</xdr:row>
      <xdr:rowOff>114300</xdr:rowOff>
    </xdr:from>
    <xdr:ext cx="38100" cy="390525"/>
    <xdr:sp macro="" textlink="">
      <xdr:nvSpPr>
        <xdr:cNvPr id="5" name="Shape 6"/>
        <xdr:cNvSpPr/>
      </xdr:nvSpPr>
      <xdr:spPr>
        <a:xfrm>
          <a:off x="5633085" y="4191000"/>
          <a:ext cx="38100" cy="390525"/>
        </a:xfrm>
        <a:custGeom>
          <a:avLst/>
          <a:gdLst/>
          <a:ahLst/>
          <a:cxnLst/>
          <a:rect l="l" t="t" r="r" b="b"/>
          <a:pathLst>
            <a:path w="163" h="1082" extrusionOk="0">
              <a:moveTo>
                <a:pt x="0" y="0"/>
              </a:moveTo>
              <a:cubicBezTo>
                <a:pt x="81" y="0"/>
                <a:pt x="162" y="45"/>
                <a:pt x="162" y="90"/>
              </a:cubicBezTo>
              <a:lnTo>
                <a:pt x="162" y="990"/>
              </a:lnTo>
              <a:cubicBezTo>
                <a:pt x="162" y="1035"/>
                <a:pt x="81" y="1081"/>
                <a:pt x="0" y="1081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1</xdr:row>
      <xdr:rowOff>95250</xdr:rowOff>
    </xdr:from>
    <xdr:to>
      <xdr:col>8</xdr:col>
      <xdr:colOff>180359</xdr:colOff>
      <xdr:row>5</xdr:row>
      <xdr:rowOff>304800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266700"/>
          <a:ext cx="3999884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4"/>
  <sheetViews>
    <sheetView tabSelected="1" view="pageBreakPreview" topLeftCell="A166" zoomScale="90" zoomScaleNormal="75" zoomScaleSheetLayoutView="90" workbookViewId="0">
      <selection activeCell="E176" sqref="E176"/>
    </sheetView>
  </sheetViews>
  <sheetFormatPr defaultRowHeight="12.75" x14ac:dyDescent="0.2"/>
  <cols>
    <col min="1" max="1" width="2.42578125" customWidth="1"/>
    <col min="2" max="2" width="8.140625" customWidth="1"/>
    <col min="3" max="3" width="9.28515625" customWidth="1"/>
    <col min="4" max="4" width="10.85546875" customWidth="1"/>
    <col min="5" max="5" width="62.7109375" customWidth="1"/>
    <col min="6" max="6" width="11.28515625" customWidth="1"/>
    <col min="7" max="7" width="13.140625" style="146" customWidth="1"/>
    <col min="8" max="8" width="13.28515625" customWidth="1"/>
    <col min="9" max="10" width="14.28515625" customWidth="1"/>
    <col min="11" max="11" width="14.42578125" customWidth="1"/>
    <col min="12" max="12" width="2.28515625" customWidth="1"/>
    <col min="13" max="13" width="12.85546875" bestFit="1" customWidth="1"/>
  </cols>
  <sheetData>
    <row r="1" spans="1:10" x14ac:dyDescent="0.2">
      <c r="A1" s="62"/>
      <c r="B1" s="296" t="s">
        <v>121</v>
      </c>
      <c r="C1" s="297"/>
      <c r="D1" s="298"/>
      <c r="E1" s="298"/>
      <c r="F1" s="298"/>
      <c r="G1" s="298"/>
      <c r="H1" s="298"/>
      <c r="I1" s="298"/>
      <c r="J1" s="299"/>
    </row>
    <row r="2" spans="1:10" x14ac:dyDescent="0.2">
      <c r="A2" s="63"/>
      <c r="B2" s="300"/>
      <c r="C2" s="301"/>
      <c r="D2" s="301"/>
      <c r="E2" s="301"/>
      <c r="F2" s="301"/>
      <c r="G2" s="301"/>
      <c r="H2" s="301"/>
      <c r="I2" s="301"/>
      <c r="J2" s="302"/>
    </row>
    <row r="3" spans="1:10" x14ac:dyDescent="0.2">
      <c r="A3" s="63"/>
      <c r="B3" s="300"/>
      <c r="C3" s="301"/>
      <c r="D3" s="301"/>
      <c r="E3" s="301"/>
      <c r="F3" s="301"/>
      <c r="G3" s="301"/>
      <c r="H3" s="301"/>
      <c r="I3" s="301"/>
      <c r="J3" s="302"/>
    </row>
    <row r="4" spans="1:10" x14ac:dyDescent="0.2">
      <c r="A4" s="63"/>
      <c r="B4" s="300"/>
      <c r="C4" s="301"/>
      <c r="D4" s="301"/>
      <c r="E4" s="301"/>
      <c r="F4" s="301"/>
      <c r="G4" s="301"/>
      <c r="H4" s="301"/>
      <c r="I4" s="301"/>
      <c r="J4" s="302"/>
    </row>
    <row r="5" spans="1:10" x14ac:dyDescent="0.2">
      <c r="A5" s="63"/>
      <c r="B5" s="300"/>
      <c r="C5" s="301"/>
      <c r="D5" s="301"/>
      <c r="E5" s="301"/>
      <c r="F5" s="301"/>
      <c r="G5" s="301"/>
      <c r="H5" s="301"/>
      <c r="I5" s="301"/>
      <c r="J5" s="302"/>
    </row>
    <row r="6" spans="1:10" ht="69" customHeight="1" thickBot="1" x14ac:dyDescent="0.25">
      <c r="A6" s="63"/>
      <c r="B6" s="303"/>
      <c r="C6" s="304"/>
      <c r="D6" s="304"/>
      <c r="E6" s="304"/>
      <c r="F6" s="304"/>
      <c r="G6" s="304"/>
      <c r="H6" s="304"/>
      <c r="I6" s="304"/>
      <c r="J6" s="305"/>
    </row>
    <row r="7" spans="1:10" ht="2.4500000000000002" customHeight="1" x14ac:dyDescent="0.2">
      <c r="A7" s="63"/>
      <c r="B7" s="306"/>
      <c r="C7" s="307"/>
      <c r="D7" s="307"/>
      <c r="E7" s="307"/>
      <c r="F7" s="307"/>
      <c r="G7" s="307"/>
      <c r="H7" s="307"/>
      <c r="I7" s="307"/>
      <c r="J7" s="308"/>
    </row>
    <row r="8" spans="1:10" ht="8.4499999999999993" customHeight="1" thickBot="1" x14ac:dyDescent="0.25">
      <c r="A8" s="63"/>
      <c r="B8" s="309"/>
      <c r="C8" s="310"/>
      <c r="D8" s="310"/>
      <c r="E8" s="310"/>
      <c r="F8" s="310"/>
      <c r="G8" s="310"/>
      <c r="H8" s="310"/>
      <c r="I8" s="310"/>
      <c r="J8" s="311"/>
    </row>
    <row r="9" spans="1:10" ht="24.95" customHeight="1" thickBot="1" x14ac:dyDescent="0.25">
      <c r="A9" s="63"/>
      <c r="B9" s="312" t="s">
        <v>22</v>
      </c>
      <c r="C9" s="313"/>
      <c r="D9" s="313"/>
      <c r="E9" s="313"/>
      <c r="F9" s="313"/>
      <c r="G9" s="313"/>
      <c r="H9" s="313"/>
      <c r="I9" s="313"/>
      <c r="J9" s="314"/>
    </row>
    <row r="10" spans="1:10" ht="9" customHeight="1" thickBot="1" x14ac:dyDescent="0.25">
      <c r="A10" s="63"/>
      <c r="B10" s="321"/>
      <c r="C10" s="322"/>
      <c r="D10" s="322"/>
      <c r="E10" s="322"/>
      <c r="F10" s="322"/>
      <c r="G10" s="322"/>
      <c r="H10" s="322"/>
      <c r="I10" s="322"/>
      <c r="J10" s="323"/>
    </row>
    <row r="11" spans="1:10" ht="19.5" customHeight="1" x14ac:dyDescent="0.2">
      <c r="A11" s="63"/>
      <c r="B11" s="315" t="s">
        <v>122</v>
      </c>
      <c r="C11" s="316"/>
      <c r="D11" s="316"/>
      <c r="E11" s="316"/>
      <c r="F11" s="316"/>
      <c r="G11" s="317"/>
      <c r="H11" s="318"/>
      <c r="I11" s="319"/>
      <c r="J11" s="320"/>
    </row>
    <row r="12" spans="1:10" ht="20.100000000000001" customHeight="1" x14ac:dyDescent="0.2">
      <c r="A12" s="63"/>
      <c r="B12" s="324" t="s">
        <v>411</v>
      </c>
      <c r="C12" s="325"/>
      <c r="D12" s="325"/>
      <c r="E12" s="325"/>
      <c r="F12" s="325"/>
      <c r="G12" s="326"/>
      <c r="H12" s="327" t="s">
        <v>414</v>
      </c>
      <c r="I12" s="328"/>
      <c r="J12" s="329"/>
    </row>
    <row r="13" spans="1:10" ht="20.45" customHeight="1" x14ac:dyDescent="0.2">
      <c r="A13" s="63"/>
      <c r="B13" s="330" t="s">
        <v>410</v>
      </c>
      <c r="C13" s="331"/>
      <c r="D13" s="331"/>
      <c r="E13" s="331"/>
      <c r="F13" s="332"/>
      <c r="G13" s="328" t="s">
        <v>13</v>
      </c>
      <c r="H13" s="333"/>
      <c r="I13" s="333"/>
      <c r="J13" s="334"/>
    </row>
    <row r="14" spans="1:10" ht="19.5" customHeight="1" x14ac:dyDescent="0.2">
      <c r="A14" s="63"/>
      <c r="B14" s="335" t="s">
        <v>412</v>
      </c>
      <c r="C14" s="336"/>
      <c r="D14" s="336"/>
      <c r="E14" s="336"/>
      <c r="F14" s="337"/>
      <c r="G14" s="347" t="s">
        <v>26</v>
      </c>
      <c r="H14" s="344" t="s">
        <v>12</v>
      </c>
      <c r="I14" s="197" t="s">
        <v>67</v>
      </c>
      <c r="J14" s="2" t="s">
        <v>11</v>
      </c>
    </row>
    <row r="15" spans="1:10" ht="19.5" customHeight="1" x14ac:dyDescent="0.2">
      <c r="A15" s="63"/>
      <c r="B15" s="338" t="s">
        <v>413</v>
      </c>
      <c r="C15" s="339"/>
      <c r="D15" s="339"/>
      <c r="E15" s="339"/>
      <c r="F15" s="340"/>
      <c r="G15" s="348"/>
      <c r="H15" s="345"/>
      <c r="I15" s="168" t="s">
        <v>80</v>
      </c>
      <c r="J15" s="169" t="s">
        <v>570</v>
      </c>
    </row>
    <row r="16" spans="1:10" ht="19.5" customHeight="1" thickBot="1" x14ac:dyDescent="0.25">
      <c r="A16" s="63"/>
      <c r="B16" s="341"/>
      <c r="C16" s="342"/>
      <c r="D16" s="342"/>
      <c r="E16" s="342"/>
      <c r="F16" s="343"/>
      <c r="G16" s="349"/>
      <c r="H16" s="346"/>
      <c r="I16" s="170" t="s">
        <v>194</v>
      </c>
      <c r="J16" s="171">
        <v>0.2079</v>
      </c>
    </row>
    <row r="17" spans="1:11" ht="12.6" customHeight="1" thickBot="1" x14ac:dyDescent="0.25">
      <c r="A17" s="63"/>
      <c r="B17" s="275"/>
      <c r="C17" s="276"/>
      <c r="D17" s="276"/>
      <c r="E17" s="276"/>
      <c r="F17" s="276"/>
      <c r="G17" s="276"/>
      <c r="H17" s="276"/>
      <c r="I17" s="276"/>
      <c r="J17" s="277"/>
    </row>
    <row r="18" spans="1:11" ht="39.75" customHeight="1" x14ac:dyDescent="0.2">
      <c r="A18" s="63"/>
      <c r="B18" s="68" t="s">
        <v>10</v>
      </c>
      <c r="C18" s="69" t="s">
        <v>120</v>
      </c>
      <c r="D18" s="70" t="s">
        <v>9</v>
      </c>
      <c r="E18" s="70" t="s">
        <v>8</v>
      </c>
      <c r="F18" s="70" t="s">
        <v>7</v>
      </c>
      <c r="G18" s="70" t="s">
        <v>6</v>
      </c>
      <c r="H18" s="71" t="s">
        <v>92</v>
      </c>
      <c r="I18" s="71" t="s">
        <v>93</v>
      </c>
      <c r="J18" s="72" t="s">
        <v>5</v>
      </c>
    </row>
    <row r="19" spans="1:11" ht="11.45" customHeight="1" x14ac:dyDescent="0.2">
      <c r="A19" s="63"/>
      <c r="B19" s="288"/>
      <c r="C19" s="289"/>
      <c r="D19" s="289"/>
      <c r="E19" s="289"/>
      <c r="F19" s="289"/>
      <c r="G19" s="289"/>
      <c r="H19" s="289"/>
      <c r="I19" s="289"/>
      <c r="J19" s="290"/>
    </row>
    <row r="20" spans="1:11" ht="15" x14ac:dyDescent="0.2">
      <c r="A20" s="63"/>
      <c r="B20" s="124" t="s">
        <v>74</v>
      </c>
      <c r="C20" s="272"/>
      <c r="D20" s="273"/>
      <c r="E20" s="96" t="s">
        <v>68</v>
      </c>
      <c r="F20" s="97"/>
      <c r="G20" s="137"/>
      <c r="H20" s="119"/>
      <c r="I20" s="120"/>
      <c r="J20" s="98">
        <f>SUM(J21:J23)</f>
        <v>14805.15</v>
      </c>
    </row>
    <row r="21" spans="1:11" ht="76.5" x14ac:dyDescent="0.2">
      <c r="A21" s="63"/>
      <c r="B21" s="1" t="s">
        <v>4</v>
      </c>
      <c r="C21" s="83" t="s">
        <v>94</v>
      </c>
      <c r="D21" s="73" t="s">
        <v>168</v>
      </c>
      <c r="E21" s="74" t="s">
        <v>167</v>
      </c>
      <c r="F21" s="78" t="s">
        <v>115</v>
      </c>
      <c r="G21" s="82">
        <f>'MEMORIAL DE CÁLCULO'!F21</f>
        <v>1</v>
      </c>
      <c r="H21" s="80">
        <v>1390.32</v>
      </c>
      <c r="I21" s="80">
        <f>ROUND(H21*1.3091,2)</f>
        <v>1820.07</v>
      </c>
      <c r="J21" s="81">
        <f>ROUND(G21*I21,2)</f>
        <v>1820.07</v>
      </c>
      <c r="K21" s="65"/>
    </row>
    <row r="22" spans="1:11" ht="51" x14ac:dyDescent="0.2">
      <c r="A22" s="63"/>
      <c r="B22" s="1" t="s">
        <v>3</v>
      </c>
      <c r="C22" s="83" t="s">
        <v>94</v>
      </c>
      <c r="D22" s="73" t="s">
        <v>173</v>
      </c>
      <c r="E22" s="74" t="s">
        <v>172</v>
      </c>
      <c r="F22" s="78" t="s">
        <v>99</v>
      </c>
      <c r="G22" s="82">
        <f>'MEMORIAL DE CÁLCULO'!F22</f>
        <v>102.9</v>
      </c>
      <c r="H22" s="80">
        <v>48.91</v>
      </c>
      <c r="I22" s="80">
        <f>ROUND(H22*1.3091,2)</f>
        <v>64.03</v>
      </c>
      <c r="J22" s="81">
        <f t="shared" ref="J22" si="0">ROUND(G22*I22,2)</f>
        <v>6588.69</v>
      </c>
      <c r="K22" s="65"/>
    </row>
    <row r="23" spans="1:11" ht="38.25" x14ac:dyDescent="0.2">
      <c r="A23" s="63"/>
      <c r="B23" s="1" t="s">
        <v>2</v>
      </c>
      <c r="C23" s="83" t="s">
        <v>94</v>
      </c>
      <c r="D23" s="73" t="s">
        <v>572</v>
      </c>
      <c r="E23" s="74" t="s">
        <v>571</v>
      </c>
      <c r="F23" s="78" t="s">
        <v>95</v>
      </c>
      <c r="G23" s="82">
        <f>'MEMORIAL DE CÁLCULO'!F23</f>
        <v>9</v>
      </c>
      <c r="H23" s="80">
        <v>542.9</v>
      </c>
      <c r="I23" s="80">
        <f>ROUND(H23*1.3091,2)</f>
        <v>710.71</v>
      </c>
      <c r="J23" s="81">
        <f t="shared" ref="J23" si="1">ROUND(G23*I23,2)</f>
        <v>6396.39</v>
      </c>
      <c r="K23" s="65"/>
    </row>
    <row r="24" spans="1:11" x14ac:dyDescent="0.2">
      <c r="A24" s="63"/>
      <c r="B24" s="291"/>
      <c r="C24" s="292"/>
      <c r="D24" s="292"/>
      <c r="E24" s="292"/>
      <c r="F24" s="292"/>
      <c r="G24" s="292"/>
      <c r="H24" s="292"/>
      <c r="I24" s="292"/>
      <c r="J24" s="293"/>
      <c r="K24" s="65"/>
    </row>
    <row r="25" spans="1:11" ht="15" x14ac:dyDescent="0.2">
      <c r="A25" s="63"/>
      <c r="B25" s="250" t="s">
        <v>75</v>
      </c>
      <c r="C25" s="272"/>
      <c r="D25" s="273"/>
      <c r="E25" s="147" t="s">
        <v>174</v>
      </c>
      <c r="F25" s="97"/>
      <c r="G25" s="148"/>
      <c r="H25" s="149"/>
      <c r="I25" s="150"/>
      <c r="J25" s="151">
        <f>SUM(J26:J28)</f>
        <v>3762.86</v>
      </c>
      <c r="K25" s="65"/>
    </row>
    <row r="26" spans="1:11" ht="25.5" x14ac:dyDescent="0.2">
      <c r="A26" s="63"/>
      <c r="B26" s="125" t="s">
        <v>69</v>
      </c>
      <c r="C26" s="83" t="s">
        <v>94</v>
      </c>
      <c r="D26" s="73" t="s">
        <v>176</v>
      </c>
      <c r="E26" s="74" t="s">
        <v>175</v>
      </c>
      <c r="F26" s="78" t="s">
        <v>96</v>
      </c>
      <c r="G26" s="82">
        <f>'MEMORIAL DE CÁLCULO'!F26</f>
        <v>26.21</v>
      </c>
      <c r="H26" s="80">
        <v>79.94</v>
      </c>
      <c r="I26" s="80">
        <f t="shared" ref="I26:I28" si="2">ROUND(H26*1.3091,2)</f>
        <v>104.65</v>
      </c>
      <c r="J26" s="81">
        <f t="shared" ref="J26:J28" si="3">ROUND(G26*I26,2)</f>
        <v>2742.88</v>
      </c>
      <c r="K26" s="65"/>
    </row>
    <row r="27" spans="1:11" x14ac:dyDescent="0.2">
      <c r="A27" s="63"/>
      <c r="B27" s="125" t="s">
        <v>70</v>
      </c>
      <c r="C27" s="83" t="s">
        <v>94</v>
      </c>
      <c r="D27" s="73" t="s">
        <v>178</v>
      </c>
      <c r="E27" s="74" t="s">
        <v>177</v>
      </c>
      <c r="F27" s="78" t="s">
        <v>95</v>
      </c>
      <c r="G27" s="82">
        <f>'MEMORIAL DE CÁLCULO'!F27</f>
        <v>55.37</v>
      </c>
      <c r="H27" s="80">
        <v>3.91</v>
      </c>
      <c r="I27" s="80">
        <f t="shared" si="2"/>
        <v>5.12</v>
      </c>
      <c r="J27" s="81">
        <f t="shared" si="3"/>
        <v>283.49</v>
      </c>
      <c r="K27" s="65"/>
    </row>
    <row r="28" spans="1:11" x14ac:dyDescent="0.2">
      <c r="A28" s="63"/>
      <c r="B28" s="125" t="s">
        <v>100</v>
      </c>
      <c r="C28" s="83" t="s">
        <v>94</v>
      </c>
      <c r="D28" s="73" t="s">
        <v>180</v>
      </c>
      <c r="E28" s="74" t="s">
        <v>179</v>
      </c>
      <c r="F28" s="78" t="s">
        <v>96</v>
      </c>
      <c r="G28" s="82">
        <f>'MEMORIAL DE CÁLCULO'!F28</f>
        <v>16.61</v>
      </c>
      <c r="H28" s="80">
        <v>33.869999999999997</v>
      </c>
      <c r="I28" s="80">
        <f t="shared" si="2"/>
        <v>44.34</v>
      </c>
      <c r="J28" s="81">
        <f t="shared" si="3"/>
        <v>736.49</v>
      </c>
      <c r="K28" s="65"/>
    </row>
    <row r="29" spans="1:11" ht="11.45" customHeight="1" x14ac:dyDescent="0.2">
      <c r="A29" s="63"/>
      <c r="B29" s="291"/>
      <c r="C29" s="292"/>
      <c r="D29" s="292"/>
      <c r="E29" s="292"/>
      <c r="F29" s="292"/>
      <c r="G29" s="292"/>
      <c r="H29" s="292"/>
      <c r="I29" s="292"/>
      <c r="J29" s="293"/>
    </row>
    <row r="30" spans="1:11" ht="11.45" customHeight="1" x14ac:dyDescent="0.2">
      <c r="A30" s="63"/>
      <c r="B30" s="250" t="s">
        <v>76</v>
      </c>
      <c r="C30" s="272"/>
      <c r="D30" s="273"/>
      <c r="E30" s="147" t="s">
        <v>169</v>
      </c>
      <c r="F30" s="97"/>
      <c r="G30" s="148"/>
      <c r="H30" s="149"/>
      <c r="I30" s="150"/>
      <c r="J30" s="151">
        <f>SUM(J31+J35)</f>
        <v>29404.52</v>
      </c>
    </row>
    <row r="31" spans="1:11" ht="11.45" customHeight="1" x14ac:dyDescent="0.2">
      <c r="A31" s="63"/>
      <c r="B31" s="126" t="s">
        <v>128</v>
      </c>
      <c r="C31" s="352"/>
      <c r="D31" s="353"/>
      <c r="E31" s="101" t="s">
        <v>181</v>
      </c>
      <c r="F31" s="154"/>
      <c r="G31" s="157"/>
      <c r="H31" s="103"/>
      <c r="I31" s="103"/>
      <c r="J31" s="117">
        <f>SUM(J32:J34)</f>
        <v>13097.81</v>
      </c>
    </row>
    <row r="32" spans="1:11" ht="25.5" x14ac:dyDescent="0.2">
      <c r="A32" s="63"/>
      <c r="B32" s="125" t="s">
        <v>233</v>
      </c>
      <c r="C32" s="83" t="s">
        <v>94</v>
      </c>
      <c r="D32" s="73" t="s">
        <v>170</v>
      </c>
      <c r="E32" s="74" t="s">
        <v>171</v>
      </c>
      <c r="F32" s="78" t="s">
        <v>96</v>
      </c>
      <c r="G32" s="82">
        <f>'MEMORIAL DE CÁLCULO'!F32</f>
        <v>1.92</v>
      </c>
      <c r="H32" s="80">
        <v>508.13</v>
      </c>
      <c r="I32" s="80">
        <f t="shared" ref="I32:I34" si="4">ROUND(H32*1.3091,2)</f>
        <v>665.19</v>
      </c>
      <c r="J32" s="81">
        <f t="shared" ref="J32:J38" si="5">ROUND(G32*I32,2)</f>
        <v>1277.1600000000001</v>
      </c>
    </row>
    <row r="33" spans="1:10" ht="25.5" x14ac:dyDescent="0.2">
      <c r="A33" s="63"/>
      <c r="B33" s="125" t="s">
        <v>235</v>
      </c>
      <c r="C33" s="83" t="s">
        <v>97</v>
      </c>
      <c r="D33" s="73">
        <v>96545</v>
      </c>
      <c r="E33" s="153" t="s">
        <v>185</v>
      </c>
      <c r="F33" s="152" t="s">
        <v>98</v>
      </c>
      <c r="G33" s="82">
        <f>'MEMORIAL DE CÁLCULO'!F33</f>
        <v>155.94999999999999</v>
      </c>
      <c r="H33" s="80">
        <v>14.6</v>
      </c>
      <c r="I33" s="80">
        <f t="shared" si="4"/>
        <v>19.11</v>
      </c>
      <c r="J33" s="81">
        <f t="shared" si="5"/>
        <v>2980.2</v>
      </c>
    </row>
    <row r="34" spans="1:10" ht="38.25" x14ac:dyDescent="0.2">
      <c r="A34" s="63"/>
      <c r="B34" s="125" t="s">
        <v>236</v>
      </c>
      <c r="C34" s="83" t="s">
        <v>94</v>
      </c>
      <c r="D34" s="73" t="s">
        <v>244</v>
      </c>
      <c r="E34" s="153" t="s">
        <v>243</v>
      </c>
      <c r="F34" s="152" t="s">
        <v>96</v>
      </c>
      <c r="G34" s="82">
        <f>'MEMORIAL DE CÁLCULO'!F34</f>
        <v>15.36</v>
      </c>
      <c r="H34" s="80">
        <v>439.65</v>
      </c>
      <c r="I34" s="80">
        <f t="shared" si="4"/>
        <v>575.54999999999995</v>
      </c>
      <c r="J34" s="81">
        <f t="shared" si="5"/>
        <v>8840.4500000000007</v>
      </c>
    </row>
    <row r="35" spans="1:10" ht="11.45" customHeight="1" x14ac:dyDescent="0.2">
      <c r="A35" s="63"/>
      <c r="B35" s="126" t="s">
        <v>153</v>
      </c>
      <c r="C35" s="352"/>
      <c r="D35" s="353"/>
      <c r="E35" s="101" t="s">
        <v>182</v>
      </c>
      <c r="F35" s="154"/>
      <c r="G35" s="157"/>
      <c r="H35" s="103"/>
      <c r="I35" s="103"/>
      <c r="J35" s="117">
        <f>SUM(J36:J38)</f>
        <v>16306.71</v>
      </c>
    </row>
    <row r="36" spans="1:10" ht="25.5" x14ac:dyDescent="0.2">
      <c r="A36" s="63"/>
      <c r="B36" s="125" t="s">
        <v>234</v>
      </c>
      <c r="C36" s="83" t="s">
        <v>94</v>
      </c>
      <c r="D36" s="73" t="s">
        <v>184</v>
      </c>
      <c r="E36" s="153" t="s">
        <v>183</v>
      </c>
      <c r="F36" s="152" t="s">
        <v>95</v>
      </c>
      <c r="G36" s="82">
        <f>'MEMORIAL DE CÁLCULO'!F36</f>
        <v>72.34</v>
      </c>
      <c r="H36" s="80">
        <v>53.49</v>
      </c>
      <c r="I36" s="80">
        <f t="shared" ref="I36:I38" si="6">ROUND(H36*1.3091,2)</f>
        <v>70.02</v>
      </c>
      <c r="J36" s="81">
        <f t="shared" si="5"/>
        <v>5065.25</v>
      </c>
    </row>
    <row r="37" spans="1:10" ht="25.5" x14ac:dyDescent="0.2">
      <c r="A37" s="63"/>
      <c r="B37" s="125" t="s">
        <v>237</v>
      </c>
      <c r="C37" s="83" t="s">
        <v>97</v>
      </c>
      <c r="D37" s="73">
        <v>96545</v>
      </c>
      <c r="E37" s="153" t="s">
        <v>185</v>
      </c>
      <c r="F37" s="152" t="s">
        <v>98</v>
      </c>
      <c r="G37" s="82">
        <f>'MEMORIAL DE CÁLCULO'!F37</f>
        <v>190.5</v>
      </c>
      <c r="H37" s="80">
        <v>14.6</v>
      </c>
      <c r="I37" s="80">
        <f t="shared" si="6"/>
        <v>19.11</v>
      </c>
      <c r="J37" s="81">
        <f t="shared" si="5"/>
        <v>3640.46</v>
      </c>
    </row>
    <row r="38" spans="1:10" ht="25.5" x14ac:dyDescent="0.2">
      <c r="A38" s="63"/>
      <c r="B38" s="125" t="s">
        <v>238</v>
      </c>
      <c r="C38" s="83" t="s">
        <v>97</v>
      </c>
      <c r="D38" s="73">
        <v>96556</v>
      </c>
      <c r="E38" s="153" t="s">
        <v>305</v>
      </c>
      <c r="F38" s="152" t="s">
        <v>96</v>
      </c>
      <c r="G38" s="82">
        <f>'MEMORIAL DE CÁLCULO'!F38</f>
        <v>7.54</v>
      </c>
      <c r="H38" s="80">
        <v>770.06</v>
      </c>
      <c r="I38" s="80">
        <f t="shared" si="6"/>
        <v>1008.09</v>
      </c>
      <c r="J38" s="81">
        <f t="shared" si="5"/>
        <v>7601</v>
      </c>
    </row>
    <row r="39" spans="1:10" ht="11.45" customHeight="1" x14ac:dyDescent="0.2">
      <c r="A39" s="63"/>
      <c r="B39" s="291"/>
      <c r="C39" s="292"/>
      <c r="D39" s="292"/>
      <c r="E39" s="292"/>
      <c r="F39" s="292"/>
      <c r="G39" s="292"/>
      <c r="H39" s="292"/>
      <c r="I39" s="292"/>
      <c r="J39" s="293"/>
    </row>
    <row r="40" spans="1:10" ht="15" x14ac:dyDescent="0.2">
      <c r="A40" s="63"/>
      <c r="B40" s="124" t="s">
        <v>77</v>
      </c>
      <c r="C40" s="272"/>
      <c r="D40" s="273"/>
      <c r="E40" s="96" t="s">
        <v>81</v>
      </c>
      <c r="F40" s="97"/>
      <c r="G40" s="138"/>
      <c r="H40" s="121"/>
      <c r="I40" s="122"/>
      <c r="J40" s="98">
        <f>SUM(J41+J46+J48+J52+J55+J60)</f>
        <v>53435.15</v>
      </c>
    </row>
    <row r="41" spans="1:10" ht="14.45" customHeight="1" x14ac:dyDescent="0.2">
      <c r="A41" s="63"/>
      <c r="B41" s="126" t="s">
        <v>129</v>
      </c>
      <c r="C41" s="350"/>
      <c r="D41" s="351"/>
      <c r="E41" s="101" t="s">
        <v>240</v>
      </c>
      <c r="F41" s="116"/>
      <c r="G41" s="155"/>
      <c r="H41" s="103"/>
      <c r="I41" s="103"/>
      <c r="J41" s="117">
        <f>SUM(J42:J45)</f>
        <v>18412.599999999999</v>
      </c>
    </row>
    <row r="42" spans="1:10" ht="25.5" x14ac:dyDescent="0.2">
      <c r="A42" s="63"/>
      <c r="B42" s="125" t="s">
        <v>307</v>
      </c>
      <c r="C42" s="270" t="s">
        <v>191</v>
      </c>
      <c r="D42" s="271"/>
      <c r="E42" s="77" t="s">
        <v>227</v>
      </c>
      <c r="F42" s="78" t="s">
        <v>203</v>
      </c>
      <c r="G42" s="82">
        <f>'MEMORIAL DE CÁLCULO'!F42</f>
        <v>8</v>
      </c>
      <c r="H42" s="80">
        <f>4000/G42</f>
        <v>500</v>
      </c>
      <c r="I42" s="172">
        <f t="shared" ref="I42:I44" si="7">ROUND(H42*1.2079,2)</f>
        <v>603.95000000000005</v>
      </c>
      <c r="J42" s="81">
        <f t="shared" ref="J42:J54" si="8">ROUND(G42*I42,2)</f>
        <v>4831.6000000000004</v>
      </c>
    </row>
    <row r="43" spans="1:10" ht="25.5" x14ac:dyDescent="0.2">
      <c r="A43" s="63"/>
      <c r="B43" s="125" t="s">
        <v>308</v>
      </c>
      <c r="C43" s="270" t="s">
        <v>191</v>
      </c>
      <c r="D43" s="271"/>
      <c r="E43" s="77" t="s">
        <v>225</v>
      </c>
      <c r="F43" s="78" t="s">
        <v>203</v>
      </c>
      <c r="G43" s="82">
        <f>'MEMORIAL DE CÁLCULO'!F43</f>
        <v>22</v>
      </c>
      <c r="H43" s="80">
        <f>8000/G43</f>
        <v>363.64</v>
      </c>
      <c r="I43" s="172">
        <f t="shared" si="7"/>
        <v>439.24</v>
      </c>
      <c r="J43" s="81">
        <f t="shared" si="8"/>
        <v>9663.2800000000007</v>
      </c>
    </row>
    <row r="44" spans="1:10" ht="25.5" x14ac:dyDescent="0.2">
      <c r="A44" s="63"/>
      <c r="B44" s="125" t="s">
        <v>309</v>
      </c>
      <c r="C44" s="270" t="s">
        <v>191</v>
      </c>
      <c r="D44" s="271"/>
      <c r="E44" s="77" t="s">
        <v>394</v>
      </c>
      <c r="F44" s="78" t="s">
        <v>115</v>
      </c>
      <c r="G44" s="82">
        <f>'MEMORIAL DE CÁLCULO'!F44</f>
        <v>36</v>
      </c>
      <c r="H44" s="80">
        <f>12.6*3.5</f>
        <v>44.1</v>
      </c>
      <c r="I44" s="172">
        <f t="shared" si="7"/>
        <v>53.27</v>
      </c>
      <c r="J44" s="81">
        <f t="shared" si="8"/>
        <v>1917.72</v>
      </c>
    </row>
    <row r="45" spans="1:10" x14ac:dyDescent="0.2">
      <c r="A45" s="63"/>
      <c r="B45" s="125" t="s">
        <v>395</v>
      </c>
      <c r="C45" s="270" t="s">
        <v>191</v>
      </c>
      <c r="D45" s="271"/>
      <c r="E45" s="77" t="s">
        <v>231</v>
      </c>
      <c r="F45" s="78" t="s">
        <v>215</v>
      </c>
      <c r="G45" s="82">
        <f>'MEMORIAL DE CÁLCULO'!F45</f>
        <v>1</v>
      </c>
      <c r="H45" s="80">
        <f>2000</f>
        <v>2000</v>
      </c>
      <c r="I45" s="80"/>
      <c r="J45" s="81">
        <f>ROUND(G45*H45,2)</f>
        <v>2000</v>
      </c>
    </row>
    <row r="46" spans="1:10" ht="14.45" customHeight="1" x14ac:dyDescent="0.2">
      <c r="A46" s="63"/>
      <c r="B46" s="126" t="s">
        <v>78</v>
      </c>
      <c r="C46" s="350"/>
      <c r="D46" s="351"/>
      <c r="E46" s="101" t="s">
        <v>242</v>
      </c>
      <c r="F46" s="156"/>
      <c r="G46" s="155"/>
      <c r="H46" s="103"/>
      <c r="I46" s="103"/>
      <c r="J46" s="117">
        <f>SUM(J47:J47)</f>
        <v>985.2</v>
      </c>
    </row>
    <row r="47" spans="1:10" ht="25.5" x14ac:dyDescent="0.2">
      <c r="A47" s="63"/>
      <c r="B47" s="125" t="s">
        <v>310</v>
      </c>
      <c r="C47" s="83" t="s">
        <v>97</v>
      </c>
      <c r="D47" s="76">
        <v>42407</v>
      </c>
      <c r="E47" s="77" t="s">
        <v>241</v>
      </c>
      <c r="F47" s="73" t="s">
        <v>99</v>
      </c>
      <c r="G47" s="82">
        <f>'MEMORIAL DE CÁLCULO'!F47</f>
        <v>120</v>
      </c>
      <c r="H47" s="80">
        <v>8.2100000000000009</v>
      </c>
      <c r="I47" s="172">
        <f t="shared" ref="I47" si="9">ROUND(H47*1.2079,2)</f>
        <v>9.92</v>
      </c>
      <c r="J47" s="81">
        <f>ROUND(G47*H47,2)</f>
        <v>985.2</v>
      </c>
    </row>
    <row r="48" spans="1:10" ht="14.45" customHeight="1" x14ac:dyDescent="0.2">
      <c r="A48" s="63"/>
      <c r="B48" s="126" t="s">
        <v>79</v>
      </c>
      <c r="C48" s="350"/>
      <c r="D48" s="351"/>
      <c r="E48" s="101" t="s">
        <v>239</v>
      </c>
      <c r="F48" s="154"/>
      <c r="G48" s="155"/>
      <c r="H48" s="103"/>
      <c r="I48" s="103"/>
      <c r="J48" s="117">
        <f>SUM(J49:J51)</f>
        <v>5173.58</v>
      </c>
    </row>
    <row r="49" spans="1:11" ht="25.5" x14ac:dyDescent="0.2">
      <c r="A49" s="63"/>
      <c r="B49" s="125" t="s">
        <v>311</v>
      </c>
      <c r="C49" s="83" t="s">
        <v>94</v>
      </c>
      <c r="D49" s="73" t="s">
        <v>184</v>
      </c>
      <c r="E49" s="153" t="s">
        <v>183</v>
      </c>
      <c r="F49" s="152" t="s">
        <v>95</v>
      </c>
      <c r="G49" s="82">
        <f>'MEMORIAL DE CÁLCULO'!F49</f>
        <v>25.2</v>
      </c>
      <c r="H49" s="80">
        <v>53.49</v>
      </c>
      <c r="I49" s="80">
        <f t="shared" ref="I49:I51" si="10">ROUND(H49*1.3091,2)</f>
        <v>70.02</v>
      </c>
      <c r="J49" s="81">
        <f t="shared" si="8"/>
        <v>1764.5</v>
      </c>
    </row>
    <row r="50" spans="1:11" ht="25.5" x14ac:dyDescent="0.2">
      <c r="A50" s="63"/>
      <c r="B50" s="125" t="s">
        <v>312</v>
      </c>
      <c r="C50" s="83" t="s">
        <v>97</v>
      </c>
      <c r="D50" s="73">
        <v>96545</v>
      </c>
      <c r="E50" s="153" t="s">
        <v>185</v>
      </c>
      <c r="F50" s="152" t="s">
        <v>98</v>
      </c>
      <c r="G50" s="82">
        <f>'MEMORIAL DE CÁLCULO'!F50</f>
        <v>72.77</v>
      </c>
      <c r="H50" s="80">
        <v>14.6</v>
      </c>
      <c r="I50" s="80">
        <f t="shared" si="10"/>
        <v>19.11</v>
      </c>
      <c r="J50" s="81">
        <f t="shared" si="8"/>
        <v>1390.63</v>
      </c>
      <c r="K50" s="160" t="s">
        <v>302</v>
      </c>
    </row>
    <row r="51" spans="1:11" ht="25.5" x14ac:dyDescent="0.2">
      <c r="A51" s="63"/>
      <c r="B51" s="125" t="s">
        <v>313</v>
      </c>
      <c r="C51" s="83" t="s">
        <v>97</v>
      </c>
      <c r="D51" s="76">
        <v>103669</v>
      </c>
      <c r="E51" s="153" t="s">
        <v>189</v>
      </c>
      <c r="F51" s="152" t="s">
        <v>96</v>
      </c>
      <c r="G51" s="82">
        <f>'MEMORIAL DE CÁLCULO'!F51</f>
        <v>1.58</v>
      </c>
      <c r="H51" s="80">
        <v>975.86</v>
      </c>
      <c r="I51" s="80">
        <f t="shared" si="10"/>
        <v>1277.5</v>
      </c>
      <c r="J51" s="81">
        <f t="shared" si="8"/>
        <v>2018.45</v>
      </c>
    </row>
    <row r="52" spans="1:11" ht="15" x14ac:dyDescent="0.2">
      <c r="A52" s="63"/>
      <c r="B52" s="126" t="s">
        <v>284</v>
      </c>
      <c r="C52" s="189"/>
      <c r="D52" s="99"/>
      <c r="E52" s="101" t="s">
        <v>188</v>
      </c>
      <c r="F52" s="154"/>
      <c r="G52" s="155"/>
      <c r="H52" s="103"/>
      <c r="I52" s="103"/>
      <c r="J52" s="117">
        <f>SUM(J53:J54)</f>
        <v>9571.32</v>
      </c>
    </row>
    <row r="53" spans="1:11" ht="25.5" x14ac:dyDescent="0.2">
      <c r="A53" s="63"/>
      <c r="B53" s="125" t="s">
        <v>314</v>
      </c>
      <c r="C53" s="83" t="s">
        <v>94</v>
      </c>
      <c r="D53" s="73" t="s">
        <v>184</v>
      </c>
      <c r="E53" s="153" t="s">
        <v>183</v>
      </c>
      <c r="F53" s="152" t="s">
        <v>95</v>
      </c>
      <c r="G53" s="82">
        <f>'MEMORIAL DE CÁLCULO'!F53</f>
        <v>32.43</v>
      </c>
      <c r="H53" s="80">
        <v>53.49</v>
      </c>
      <c r="I53" s="80">
        <f t="shared" ref="I53:I54" si="11">ROUND(H53*1.3091,2)</f>
        <v>70.02</v>
      </c>
      <c r="J53" s="81">
        <f t="shared" ref="J53" si="12">ROUND(G53*I53,2)</f>
        <v>2270.75</v>
      </c>
    </row>
    <row r="54" spans="1:11" ht="38.25" x14ac:dyDescent="0.2">
      <c r="A54" s="63"/>
      <c r="B54" s="125" t="s">
        <v>315</v>
      </c>
      <c r="C54" s="83" t="s">
        <v>94</v>
      </c>
      <c r="D54" s="76" t="s">
        <v>304</v>
      </c>
      <c r="E54" s="153" t="s">
        <v>303</v>
      </c>
      <c r="F54" s="152" t="s">
        <v>96</v>
      </c>
      <c r="G54" s="82">
        <f>'MEMORIAL DE CÁLCULO'!F54</f>
        <v>2.4300000000000002</v>
      </c>
      <c r="H54" s="80">
        <v>2294.9699999999998</v>
      </c>
      <c r="I54" s="80">
        <f t="shared" si="11"/>
        <v>3004.35</v>
      </c>
      <c r="J54" s="81">
        <f t="shared" si="8"/>
        <v>7300.57</v>
      </c>
    </row>
    <row r="55" spans="1:11" ht="14.45" customHeight="1" x14ac:dyDescent="0.2">
      <c r="A55" s="63"/>
      <c r="B55" s="126" t="s">
        <v>285</v>
      </c>
      <c r="C55" s="350"/>
      <c r="D55" s="351"/>
      <c r="E55" s="101" t="s">
        <v>299</v>
      </c>
      <c r="F55" s="102"/>
      <c r="G55" s="139"/>
      <c r="H55" s="103"/>
      <c r="I55" s="103"/>
      <c r="J55" s="117">
        <f>SUM(J56:J59)</f>
        <v>4489.18</v>
      </c>
    </row>
    <row r="56" spans="1:11" ht="15" x14ac:dyDescent="0.2">
      <c r="A56" s="63"/>
      <c r="B56" s="125" t="s">
        <v>316</v>
      </c>
      <c r="C56" s="83" t="s">
        <v>97</v>
      </c>
      <c r="D56" s="76">
        <v>93182</v>
      </c>
      <c r="E56" s="77" t="s">
        <v>469</v>
      </c>
      <c r="F56" s="85" t="s">
        <v>99</v>
      </c>
      <c r="G56" s="82">
        <f>'MEMORIAL DE CÁLCULO'!F56</f>
        <v>10.9</v>
      </c>
      <c r="H56" s="80">
        <v>61.25</v>
      </c>
      <c r="I56" s="80">
        <f t="shared" ref="I56:I59" si="13">ROUND(H56*1.3091,2)</f>
        <v>80.180000000000007</v>
      </c>
      <c r="J56" s="81">
        <f>ROUND(G56*I56,2)</f>
        <v>873.96</v>
      </c>
    </row>
    <row r="57" spans="1:11" ht="25.5" x14ac:dyDescent="0.2">
      <c r="A57" s="63"/>
      <c r="B57" s="125" t="s">
        <v>396</v>
      </c>
      <c r="C57" s="83" t="s">
        <v>97</v>
      </c>
      <c r="D57" s="76">
        <v>93183</v>
      </c>
      <c r="E57" s="77" t="s">
        <v>281</v>
      </c>
      <c r="F57" s="85" t="s">
        <v>99</v>
      </c>
      <c r="G57" s="82">
        <f>'MEMORIAL DE CÁLCULO'!F57</f>
        <v>19</v>
      </c>
      <c r="H57" s="80">
        <v>78.180000000000007</v>
      </c>
      <c r="I57" s="80">
        <f t="shared" si="13"/>
        <v>102.35</v>
      </c>
      <c r="J57" s="81">
        <f>ROUND(G57*I57,2)</f>
        <v>1944.65</v>
      </c>
    </row>
    <row r="58" spans="1:11" ht="38.25" x14ac:dyDescent="0.2">
      <c r="A58" s="63"/>
      <c r="B58" s="125" t="s">
        <v>397</v>
      </c>
      <c r="C58" s="83" t="s">
        <v>94</v>
      </c>
      <c r="D58" s="76" t="s">
        <v>187</v>
      </c>
      <c r="E58" s="77" t="s">
        <v>186</v>
      </c>
      <c r="F58" s="85" t="s">
        <v>96</v>
      </c>
      <c r="G58" s="82">
        <f>'MEMORIAL DE CÁLCULO'!F58</f>
        <v>0.28999999999999998</v>
      </c>
      <c r="H58" s="80">
        <v>2918.94</v>
      </c>
      <c r="I58" s="80">
        <f t="shared" si="13"/>
        <v>3821.18</v>
      </c>
      <c r="J58" s="81">
        <f t="shared" ref="J58" si="14">ROUND(G58*I58,2)</f>
        <v>1108.1400000000001</v>
      </c>
    </row>
    <row r="59" spans="1:11" ht="38.25" x14ac:dyDescent="0.2">
      <c r="A59" s="63"/>
      <c r="B59" s="125" t="s">
        <v>398</v>
      </c>
      <c r="C59" s="83" t="s">
        <v>94</v>
      </c>
      <c r="D59" s="76" t="s">
        <v>301</v>
      </c>
      <c r="E59" s="77" t="s">
        <v>300</v>
      </c>
      <c r="F59" s="85" t="s">
        <v>96</v>
      </c>
      <c r="G59" s="82">
        <f>'MEMORIAL DE CÁLCULO'!F59</f>
        <v>0.16</v>
      </c>
      <c r="H59" s="80">
        <v>2685.18</v>
      </c>
      <c r="I59" s="80">
        <f t="shared" si="13"/>
        <v>3515.17</v>
      </c>
      <c r="J59" s="81">
        <f t="shared" ref="J59" si="15">ROUND(G59*I59,2)</f>
        <v>562.42999999999995</v>
      </c>
    </row>
    <row r="60" spans="1:11" ht="14.45" customHeight="1" x14ac:dyDescent="0.2">
      <c r="A60" s="63"/>
      <c r="B60" s="126" t="s">
        <v>399</v>
      </c>
      <c r="C60" s="350"/>
      <c r="D60" s="351"/>
      <c r="E60" s="101" t="s">
        <v>190</v>
      </c>
      <c r="F60" s="102"/>
      <c r="G60" s="139"/>
      <c r="H60" s="103"/>
      <c r="I60" s="103"/>
      <c r="J60" s="117">
        <f>SUM(J61:J62)</f>
        <v>14803.27</v>
      </c>
    </row>
    <row r="61" spans="1:11" ht="63.75" x14ac:dyDescent="0.2">
      <c r="A61" s="63"/>
      <c r="B61" s="125" t="s">
        <v>400</v>
      </c>
      <c r="C61" s="83" t="s">
        <v>94</v>
      </c>
      <c r="D61" s="76" t="s">
        <v>474</v>
      </c>
      <c r="E61" s="77" t="s">
        <v>475</v>
      </c>
      <c r="F61" s="152" t="s">
        <v>95</v>
      </c>
      <c r="G61" s="82">
        <f>'MEMORIAL DE CÁLCULO'!F61</f>
        <v>71.69</v>
      </c>
      <c r="H61" s="80">
        <v>141.38999999999999</v>
      </c>
      <c r="I61" s="80">
        <f t="shared" ref="I61:I62" si="16">ROUND(H61*1.3091,2)</f>
        <v>185.09</v>
      </c>
      <c r="J61" s="81">
        <f>ROUND(G61*I61,2)</f>
        <v>13269.1</v>
      </c>
      <c r="K61" s="160" t="s">
        <v>232</v>
      </c>
    </row>
    <row r="62" spans="1:11" ht="38.25" x14ac:dyDescent="0.2">
      <c r="A62" s="63"/>
      <c r="B62" s="125" t="s">
        <v>479</v>
      </c>
      <c r="C62" s="83" t="s">
        <v>94</v>
      </c>
      <c r="D62" s="76" t="s">
        <v>478</v>
      </c>
      <c r="E62" s="77" t="s">
        <v>477</v>
      </c>
      <c r="F62" s="152" t="s">
        <v>480</v>
      </c>
      <c r="G62" s="82">
        <f>'MEMORIAL DE CÁLCULO'!F62</f>
        <v>71.69</v>
      </c>
      <c r="H62" s="80">
        <v>16.350000000000001</v>
      </c>
      <c r="I62" s="80">
        <f t="shared" si="16"/>
        <v>21.4</v>
      </c>
      <c r="J62" s="81">
        <f>ROUND(G62*I62,2)</f>
        <v>1534.17</v>
      </c>
      <c r="K62" s="160"/>
    </row>
    <row r="63" spans="1:11" ht="9.6" customHeight="1" x14ac:dyDescent="0.2">
      <c r="A63" s="63"/>
      <c r="B63" s="288"/>
      <c r="C63" s="289"/>
      <c r="D63" s="289"/>
      <c r="E63" s="289"/>
      <c r="F63" s="289"/>
      <c r="G63" s="289"/>
      <c r="H63" s="289"/>
      <c r="I63" s="289"/>
      <c r="J63" s="290"/>
    </row>
    <row r="64" spans="1:11" ht="15" x14ac:dyDescent="0.2">
      <c r="A64" s="63"/>
      <c r="B64" s="104" t="s">
        <v>87</v>
      </c>
      <c r="C64" s="272"/>
      <c r="D64" s="273"/>
      <c r="E64" s="96" t="s">
        <v>101</v>
      </c>
      <c r="F64" s="97"/>
      <c r="G64" s="137"/>
      <c r="H64" s="100"/>
      <c r="I64" s="105"/>
      <c r="J64" s="98">
        <f>SUM(J65:J69)</f>
        <v>28402.87</v>
      </c>
    </row>
    <row r="65" spans="1:11" x14ac:dyDescent="0.2">
      <c r="A65" s="63"/>
      <c r="B65" s="93" t="s">
        <v>104</v>
      </c>
      <c r="C65" s="83" t="s">
        <v>94</v>
      </c>
      <c r="D65" s="86" t="s">
        <v>152</v>
      </c>
      <c r="E65" s="87" t="s">
        <v>228</v>
      </c>
      <c r="F65" s="79" t="s">
        <v>203</v>
      </c>
      <c r="G65" s="82">
        <f>'MEMORIAL DE CÁLCULO'!F65</f>
        <v>8285</v>
      </c>
      <c r="H65" s="80">
        <v>1.35</v>
      </c>
      <c r="I65" s="172">
        <f>ROUND(H65*1.2079,2)</f>
        <v>1.63</v>
      </c>
      <c r="J65" s="81">
        <f t="shared" ref="J65" si="17">ROUND(G65*I65,2)</f>
        <v>13504.55</v>
      </c>
      <c r="K65" s="160" t="s">
        <v>216</v>
      </c>
    </row>
    <row r="66" spans="1:11" x14ac:dyDescent="0.2">
      <c r="A66" s="63"/>
      <c r="B66" s="93" t="s">
        <v>130</v>
      </c>
      <c r="C66" s="270" t="s">
        <v>191</v>
      </c>
      <c r="D66" s="271"/>
      <c r="E66" s="87" t="s">
        <v>229</v>
      </c>
      <c r="F66" s="78" t="s">
        <v>215</v>
      </c>
      <c r="G66" s="82">
        <f>'MEMORIAL DE CÁLCULO'!F66</f>
        <v>2</v>
      </c>
      <c r="H66" s="80">
        <f>7.43*70</f>
        <v>520.1</v>
      </c>
      <c r="I66" s="165" t="s">
        <v>268</v>
      </c>
      <c r="J66" s="81">
        <f>ROUND(G66*H66,2)</f>
        <v>1040.2</v>
      </c>
    </row>
    <row r="67" spans="1:11" x14ac:dyDescent="0.2">
      <c r="A67" s="63"/>
      <c r="B67" s="93" t="s">
        <v>131</v>
      </c>
      <c r="C67" s="83" t="s">
        <v>94</v>
      </c>
      <c r="D67" s="86" t="s">
        <v>219</v>
      </c>
      <c r="E67" s="161" t="s">
        <v>222</v>
      </c>
      <c r="F67" s="78" t="s">
        <v>96</v>
      </c>
      <c r="G67" s="82">
        <f>'MEMORIAL DE CÁLCULO'!F67</f>
        <v>6.17</v>
      </c>
      <c r="H67" s="80">
        <v>394.34</v>
      </c>
      <c r="I67" s="80">
        <f t="shared" ref="I67:I69" si="18">ROUND(H67*1.3091,2)</f>
        <v>516.23</v>
      </c>
      <c r="J67" s="81">
        <f t="shared" ref="J67:J69" si="19">ROUND(G67*H67,2)</f>
        <v>2433.08</v>
      </c>
    </row>
    <row r="68" spans="1:11" x14ac:dyDescent="0.2">
      <c r="A68" s="63"/>
      <c r="B68" s="93" t="s">
        <v>132</v>
      </c>
      <c r="C68" s="83" t="s">
        <v>94</v>
      </c>
      <c r="D68" s="86" t="s">
        <v>220</v>
      </c>
      <c r="E68" s="161" t="s">
        <v>223</v>
      </c>
      <c r="F68" s="78" t="s">
        <v>193</v>
      </c>
      <c r="G68" s="82">
        <f>'MEMORIAL DE CÁLCULO'!F68</f>
        <v>342.94</v>
      </c>
      <c r="H68" s="80">
        <v>24.43</v>
      </c>
      <c r="I68" s="80">
        <f t="shared" si="18"/>
        <v>31.98</v>
      </c>
      <c r="J68" s="81">
        <f t="shared" si="19"/>
        <v>8378.02</v>
      </c>
    </row>
    <row r="69" spans="1:11" x14ac:dyDescent="0.2">
      <c r="A69" s="63"/>
      <c r="B69" s="93" t="s">
        <v>202</v>
      </c>
      <c r="C69" s="83" t="s">
        <v>94</v>
      </c>
      <c r="D69" s="86" t="s">
        <v>221</v>
      </c>
      <c r="E69" s="161" t="s">
        <v>201</v>
      </c>
      <c r="F69" s="78" t="s">
        <v>193</v>
      </c>
      <c r="G69" s="82">
        <f>'MEMORIAL DE CÁLCULO'!F69</f>
        <v>171.47</v>
      </c>
      <c r="H69" s="80">
        <v>17.77</v>
      </c>
      <c r="I69" s="80">
        <f t="shared" si="18"/>
        <v>23.26</v>
      </c>
      <c r="J69" s="81">
        <f t="shared" si="19"/>
        <v>3047.02</v>
      </c>
    </row>
    <row r="70" spans="1:11" ht="10.15" customHeight="1" x14ac:dyDescent="0.2">
      <c r="A70" s="63"/>
      <c r="B70" s="288"/>
      <c r="C70" s="289"/>
      <c r="D70" s="289"/>
      <c r="E70" s="289"/>
      <c r="F70" s="289"/>
      <c r="G70" s="289"/>
      <c r="H70" s="289"/>
      <c r="I70" s="289"/>
      <c r="J70" s="290"/>
    </row>
    <row r="71" spans="1:11" ht="15" x14ac:dyDescent="0.2">
      <c r="A71" s="63"/>
      <c r="B71" s="106" t="s">
        <v>88</v>
      </c>
      <c r="C71" s="272"/>
      <c r="D71" s="273"/>
      <c r="E71" s="96" t="s">
        <v>82</v>
      </c>
      <c r="F71" s="108"/>
      <c r="G71" s="140"/>
      <c r="H71" s="109"/>
      <c r="I71" s="110"/>
      <c r="J71" s="98">
        <f>SUM(J72:J83)</f>
        <v>54611.199999999997</v>
      </c>
    </row>
    <row r="72" spans="1:11" ht="25.5" x14ac:dyDescent="0.2">
      <c r="A72" s="63"/>
      <c r="B72" s="94" t="s">
        <v>105</v>
      </c>
      <c r="C72" s="83" t="s">
        <v>94</v>
      </c>
      <c r="D72" s="73" t="s">
        <v>275</v>
      </c>
      <c r="E72" s="92" t="s">
        <v>488</v>
      </c>
      <c r="F72" s="85" t="s">
        <v>103</v>
      </c>
      <c r="G72" s="82">
        <f>'MEMORIAL DE CÁLCULO'!F72</f>
        <v>6</v>
      </c>
      <c r="H72" s="80">
        <v>656.3</v>
      </c>
      <c r="I72" s="80">
        <f t="shared" ref="I72:I83" si="20">ROUND(H72*1.3091,2)</f>
        <v>859.16</v>
      </c>
      <c r="J72" s="81">
        <f t="shared" ref="J72:J80" si="21">ROUND(G72*I72,2)</f>
        <v>5154.96</v>
      </c>
      <c r="K72" s="160" t="s">
        <v>293</v>
      </c>
    </row>
    <row r="73" spans="1:11" ht="25.5" x14ac:dyDescent="0.2">
      <c r="A73" s="63"/>
      <c r="B73" s="94" t="s">
        <v>133</v>
      </c>
      <c r="C73" s="83" t="s">
        <v>94</v>
      </c>
      <c r="D73" s="73" t="s">
        <v>276</v>
      </c>
      <c r="E73" s="92" t="s">
        <v>489</v>
      </c>
      <c r="F73" s="85" t="s">
        <v>103</v>
      </c>
      <c r="G73" s="82">
        <f>'MEMORIAL DE CÁLCULO'!F73</f>
        <v>1</v>
      </c>
      <c r="H73" s="80">
        <v>574.27</v>
      </c>
      <c r="I73" s="80">
        <f t="shared" si="20"/>
        <v>751.78</v>
      </c>
      <c r="J73" s="81">
        <f t="shared" ref="J73" si="22">ROUND(G73*I73,2)</f>
        <v>751.78</v>
      </c>
      <c r="K73" s="160" t="s">
        <v>291</v>
      </c>
    </row>
    <row r="74" spans="1:11" ht="25.5" x14ac:dyDescent="0.2">
      <c r="A74" s="63"/>
      <c r="B74" s="94" t="s">
        <v>106</v>
      </c>
      <c r="C74" s="83" t="s">
        <v>94</v>
      </c>
      <c r="D74" s="73" t="s">
        <v>290</v>
      </c>
      <c r="E74" s="92" t="s">
        <v>289</v>
      </c>
      <c r="F74" s="85" t="s">
        <v>103</v>
      </c>
      <c r="G74" s="82">
        <f>'MEMORIAL DE CÁLCULO'!F74</f>
        <v>1</v>
      </c>
      <c r="H74" s="80">
        <v>781.52</v>
      </c>
      <c r="I74" s="80">
        <f t="shared" si="20"/>
        <v>1023.09</v>
      </c>
      <c r="J74" s="81">
        <f t="shared" ref="J74" si="23">ROUND(G74*I74,2)</f>
        <v>1023.09</v>
      </c>
      <c r="K74" s="160" t="s">
        <v>292</v>
      </c>
    </row>
    <row r="75" spans="1:11" ht="38.25" x14ac:dyDescent="0.2">
      <c r="A75" s="63"/>
      <c r="B75" s="94" t="s">
        <v>165</v>
      </c>
      <c r="C75" s="83" t="s">
        <v>94</v>
      </c>
      <c r="D75" s="73" t="s">
        <v>295</v>
      </c>
      <c r="E75" s="92" t="s">
        <v>294</v>
      </c>
      <c r="F75" s="85" t="s">
        <v>103</v>
      </c>
      <c r="G75" s="82">
        <f>'MEMORIAL DE CÁLCULO'!F75</f>
        <v>1</v>
      </c>
      <c r="H75" s="80">
        <v>2221.3200000000002</v>
      </c>
      <c r="I75" s="80">
        <f t="shared" si="20"/>
        <v>2907.93</v>
      </c>
      <c r="J75" s="81">
        <f t="shared" ref="J75" si="24">ROUND(G75*I75,2)</f>
        <v>2907.93</v>
      </c>
      <c r="K75" s="160" t="s">
        <v>296</v>
      </c>
    </row>
    <row r="76" spans="1:11" ht="38.25" x14ac:dyDescent="0.2">
      <c r="A76" s="63"/>
      <c r="B76" s="94" t="s">
        <v>255</v>
      </c>
      <c r="C76" s="83" t="s">
        <v>94</v>
      </c>
      <c r="D76" s="73" t="s">
        <v>288</v>
      </c>
      <c r="E76" s="92" t="s">
        <v>287</v>
      </c>
      <c r="F76" s="85" t="s">
        <v>103</v>
      </c>
      <c r="G76" s="82">
        <f>'MEMORIAL DE CÁLCULO'!F76</f>
        <v>2</v>
      </c>
      <c r="H76" s="80">
        <v>407.75</v>
      </c>
      <c r="I76" s="80">
        <f t="shared" si="20"/>
        <v>533.79</v>
      </c>
      <c r="J76" s="81">
        <f t="shared" ref="J76:J77" si="25">ROUND(G76*I76,2)</f>
        <v>1067.58</v>
      </c>
    </row>
    <row r="77" spans="1:11" ht="38.25" x14ac:dyDescent="0.2">
      <c r="A77" s="63"/>
      <c r="B77" s="94" t="s">
        <v>256</v>
      </c>
      <c r="C77" s="83" t="s">
        <v>94</v>
      </c>
      <c r="D77" s="73" t="s">
        <v>564</v>
      </c>
      <c r="E77" s="92" t="s">
        <v>563</v>
      </c>
      <c r="F77" s="85" t="s">
        <v>103</v>
      </c>
      <c r="G77" s="82">
        <f>'MEMORIAL DE CÁLCULO'!F77</f>
        <v>3</v>
      </c>
      <c r="H77" s="80">
        <v>420.27</v>
      </c>
      <c r="I77" s="80">
        <f t="shared" si="20"/>
        <v>550.17999999999995</v>
      </c>
      <c r="J77" s="81">
        <f t="shared" si="25"/>
        <v>1650.54</v>
      </c>
    </row>
    <row r="78" spans="1:11" x14ac:dyDescent="0.2">
      <c r="A78" s="63"/>
      <c r="B78" s="94" t="s">
        <v>257</v>
      </c>
      <c r="C78" s="83" t="s">
        <v>94</v>
      </c>
      <c r="D78" s="73" t="s">
        <v>567</v>
      </c>
      <c r="E78" s="92" t="s">
        <v>566</v>
      </c>
      <c r="F78" s="85" t="s">
        <v>95</v>
      </c>
      <c r="G78" s="82">
        <f>'MEMORIAL DE CÁLCULO'!F78</f>
        <v>5.4</v>
      </c>
      <c r="H78" s="80">
        <v>518.64</v>
      </c>
      <c r="I78" s="80">
        <f t="shared" si="20"/>
        <v>678.95</v>
      </c>
      <c r="J78" s="81">
        <f t="shared" ref="J78" si="26">ROUND(G78*I78,2)</f>
        <v>3666.33</v>
      </c>
    </row>
    <row r="79" spans="1:11" x14ac:dyDescent="0.2">
      <c r="A79" s="63"/>
      <c r="B79" s="94" t="s">
        <v>317</v>
      </c>
      <c r="C79" s="83" t="s">
        <v>94</v>
      </c>
      <c r="D79" s="73" t="s">
        <v>278</v>
      </c>
      <c r="E79" s="92" t="s">
        <v>277</v>
      </c>
      <c r="F79" s="85" t="s">
        <v>95</v>
      </c>
      <c r="G79" s="82">
        <f>'MEMORIAL DE CÁLCULO'!F79</f>
        <v>2.7</v>
      </c>
      <c r="H79" s="80">
        <v>439.33</v>
      </c>
      <c r="I79" s="80">
        <f t="shared" si="20"/>
        <v>575.13</v>
      </c>
      <c r="J79" s="81">
        <f t="shared" si="21"/>
        <v>1552.85</v>
      </c>
    </row>
    <row r="80" spans="1:11" ht="38.25" x14ac:dyDescent="0.2">
      <c r="A80" s="63"/>
      <c r="B80" s="94" t="s">
        <v>318</v>
      </c>
      <c r="C80" s="83" t="s">
        <v>94</v>
      </c>
      <c r="D80" s="73" t="s">
        <v>280</v>
      </c>
      <c r="E80" s="92" t="s">
        <v>279</v>
      </c>
      <c r="F80" s="85" t="s">
        <v>95</v>
      </c>
      <c r="G80" s="82">
        <f>'MEMORIAL DE CÁLCULO'!F80</f>
        <v>1.3</v>
      </c>
      <c r="H80" s="80">
        <v>649.23</v>
      </c>
      <c r="I80" s="80">
        <f t="shared" si="20"/>
        <v>849.91</v>
      </c>
      <c r="J80" s="81">
        <f t="shared" si="21"/>
        <v>1104.8800000000001</v>
      </c>
    </row>
    <row r="81" spans="1:11" ht="25.5" x14ac:dyDescent="0.2">
      <c r="A81" s="63"/>
      <c r="B81" s="94" t="s">
        <v>319</v>
      </c>
      <c r="C81" s="83" t="s">
        <v>94</v>
      </c>
      <c r="D81" s="73" t="s">
        <v>283</v>
      </c>
      <c r="E81" s="92" t="s">
        <v>282</v>
      </c>
      <c r="F81" s="85" t="s">
        <v>95</v>
      </c>
      <c r="G81" s="82">
        <f>'MEMORIAL DE CÁLCULO'!F81</f>
        <v>3.6</v>
      </c>
      <c r="H81" s="80">
        <v>456.81</v>
      </c>
      <c r="I81" s="80">
        <f t="shared" si="20"/>
        <v>598.01</v>
      </c>
      <c r="J81" s="81">
        <f t="shared" ref="J81" si="27">ROUND(G81*I81,2)</f>
        <v>2152.84</v>
      </c>
    </row>
    <row r="82" spans="1:11" ht="38.25" x14ac:dyDescent="0.2">
      <c r="A82" s="63"/>
      <c r="B82" s="94" t="s">
        <v>320</v>
      </c>
      <c r="C82" s="270" t="s">
        <v>191</v>
      </c>
      <c r="D82" s="271"/>
      <c r="E82" s="92" t="s">
        <v>297</v>
      </c>
      <c r="F82" s="85" t="s">
        <v>103</v>
      </c>
      <c r="G82" s="82">
        <f>'MEMORIAL DE CÁLCULO'!F82</f>
        <v>19</v>
      </c>
      <c r="H82" s="80">
        <v>1300</v>
      </c>
      <c r="I82" s="80">
        <f t="shared" si="20"/>
        <v>1701.83</v>
      </c>
      <c r="J82" s="81">
        <f t="shared" ref="J82:J83" si="28">ROUND(G82*I82,2)</f>
        <v>32334.77</v>
      </c>
    </row>
    <row r="83" spans="1:11" ht="38.25" x14ac:dyDescent="0.2">
      <c r="A83" s="63"/>
      <c r="B83" s="94" t="s">
        <v>568</v>
      </c>
      <c r="C83" s="270" t="s">
        <v>191</v>
      </c>
      <c r="D83" s="271"/>
      <c r="E83" s="92" t="s">
        <v>298</v>
      </c>
      <c r="F83" s="85" t="s">
        <v>103</v>
      </c>
      <c r="G83" s="82">
        <f>'MEMORIAL DE CÁLCULO'!F83</f>
        <v>1</v>
      </c>
      <c r="H83" s="80">
        <v>950</v>
      </c>
      <c r="I83" s="80">
        <f t="shared" si="20"/>
        <v>1243.6500000000001</v>
      </c>
      <c r="J83" s="81">
        <f t="shared" si="28"/>
        <v>1243.6500000000001</v>
      </c>
    </row>
    <row r="84" spans="1:11" ht="9.6" customHeight="1" x14ac:dyDescent="0.2">
      <c r="A84" s="63"/>
      <c r="B84" s="288"/>
      <c r="C84" s="289"/>
      <c r="D84" s="289"/>
      <c r="E84" s="289"/>
      <c r="F84" s="289"/>
      <c r="G84" s="289"/>
      <c r="H84" s="289"/>
      <c r="I84" s="289"/>
      <c r="J84" s="290"/>
    </row>
    <row r="85" spans="1:11" ht="15" x14ac:dyDescent="0.2">
      <c r="A85" s="63"/>
      <c r="B85" s="106" t="s">
        <v>89</v>
      </c>
      <c r="C85" s="272"/>
      <c r="D85" s="273"/>
      <c r="E85" s="112" t="s">
        <v>83</v>
      </c>
      <c r="F85" s="111"/>
      <c r="G85" s="140"/>
      <c r="H85" s="109"/>
      <c r="I85" s="110"/>
      <c r="J85" s="98">
        <f>SUM(J86:J102)</f>
        <v>161276.47</v>
      </c>
    </row>
    <row r="86" spans="1:11" ht="14.45" customHeight="1" x14ac:dyDescent="0.2">
      <c r="A86" s="63"/>
      <c r="B86" s="94" t="s">
        <v>134</v>
      </c>
      <c r="C86" s="270" t="s">
        <v>191</v>
      </c>
      <c r="D86" s="271"/>
      <c r="E86" s="77" t="s">
        <v>195</v>
      </c>
      <c r="F86" s="78" t="s">
        <v>99</v>
      </c>
      <c r="G86" s="82">
        <f>'MEMORIAL DE CÁLCULO'!F86</f>
        <v>2314.48</v>
      </c>
      <c r="H86" s="80">
        <v>1.9</v>
      </c>
      <c r="I86" s="172">
        <f t="shared" ref="I86:I91" si="29">ROUND(H86*1.2079,2)</f>
        <v>2.2999999999999998</v>
      </c>
      <c r="J86" s="81">
        <f t="shared" ref="J86:J100" si="30">ROUND(G86*I86,2)</f>
        <v>5323.3</v>
      </c>
      <c r="K86" s="160" t="s">
        <v>371</v>
      </c>
    </row>
    <row r="87" spans="1:11" ht="25.5" x14ac:dyDescent="0.2">
      <c r="A87" s="63"/>
      <c r="B87" s="94" t="s">
        <v>107</v>
      </c>
      <c r="C87" s="270" t="s">
        <v>191</v>
      </c>
      <c r="D87" s="271"/>
      <c r="E87" s="77" t="s">
        <v>196</v>
      </c>
      <c r="F87" s="78" t="s">
        <v>99</v>
      </c>
      <c r="G87" s="82">
        <f>'MEMORIAL DE CÁLCULO'!F87</f>
        <v>1426.48</v>
      </c>
      <c r="H87" s="80">
        <v>6.6</v>
      </c>
      <c r="I87" s="172">
        <f t="shared" si="29"/>
        <v>7.97</v>
      </c>
      <c r="J87" s="81">
        <f t="shared" si="30"/>
        <v>11369.05</v>
      </c>
      <c r="K87" s="160" t="s">
        <v>371</v>
      </c>
    </row>
    <row r="88" spans="1:11" ht="25.5" x14ac:dyDescent="0.2">
      <c r="A88" s="63"/>
      <c r="B88" s="94" t="s">
        <v>143</v>
      </c>
      <c r="C88" s="270" t="s">
        <v>191</v>
      </c>
      <c r="D88" s="271"/>
      <c r="E88" s="77" t="s">
        <v>197</v>
      </c>
      <c r="F88" s="78" t="s">
        <v>99</v>
      </c>
      <c r="G88" s="82">
        <f>'MEMORIAL DE CÁLCULO'!F88</f>
        <v>284</v>
      </c>
      <c r="H88" s="80">
        <v>12.6</v>
      </c>
      <c r="I88" s="172">
        <f t="shared" si="29"/>
        <v>15.22</v>
      </c>
      <c r="J88" s="81">
        <f t="shared" si="30"/>
        <v>4322.4799999999996</v>
      </c>
      <c r="K88" s="160" t="s">
        <v>371</v>
      </c>
    </row>
    <row r="89" spans="1:11" ht="25.5" x14ac:dyDescent="0.2">
      <c r="A89" s="63"/>
      <c r="B89" s="94" t="s">
        <v>156</v>
      </c>
      <c r="C89" s="270" t="s">
        <v>191</v>
      </c>
      <c r="D89" s="271"/>
      <c r="E89" s="77" t="s">
        <v>226</v>
      </c>
      <c r="F89" s="78" t="s">
        <v>115</v>
      </c>
      <c r="G89" s="82">
        <f>'MEMORIAL DE CÁLCULO'!F89</f>
        <v>9</v>
      </c>
      <c r="H89" s="80">
        <f>11000/G89</f>
        <v>1222.22</v>
      </c>
      <c r="I89" s="172">
        <f t="shared" si="29"/>
        <v>1476.32</v>
      </c>
      <c r="J89" s="81">
        <f t="shared" si="30"/>
        <v>13286.88</v>
      </c>
      <c r="K89" s="160" t="s">
        <v>370</v>
      </c>
    </row>
    <row r="90" spans="1:11" ht="25.5" x14ac:dyDescent="0.2">
      <c r="A90" s="63"/>
      <c r="B90" s="94" t="s">
        <v>321</v>
      </c>
      <c r="C90" s="270" t="s">
        <v>191</v>
      </c>
      <c r="D90" s="271"/>
      <c r="E90" s="77" t="s">
        <v>224</v>
      </c>
      <c r="F90" s="78" t="s">
        <v>115</v>
      </c>
      <c r="G90" s="82">
        <f>'MEMORIAL DE CÁLCULO'!F90</f>
        <v>226.44</v>
      </c>
      <c r="H90" s="80">
        <f>(8000/22)/7</f>
        <v>51.95</v>
      </c>
      <c r="I90" s="172">
        <f t="shared" si="29"/>
        <v>62.75</v>
      </c>
      <c r="J90" s="81">
        <f t="shared" ref="J90" si="31">ROUND(G90*I90,2)</f>
        <v>14209.11</v>
      </c>
      <c r="K90" s="160" t="s">
        <v>370</v>
      </c>
    </row>
    <row r="91" spans="1:11" ht="14.45" customHeight="1" x14ac:dyDescent="0.2">
      <c r="A91" s="63"/>
      <c r="B91" s="94" t="s">
        <v>322</v>
      </c>
      <c r="C91" s="270" t="s">
        <v>191</v>
      </c>
      <c r="D91" s="271"/>
      <c r="E91" s="77" t="s">
        <v>198</v>
      </c>
      <c r="F91" s="78" t="s">
        <v>99</v>
      </c>
      <c r="G91" s="82">
        <f>'MEMORIAL DE CÁLCULO'!F91</f>
        <v>423</v>
      </c>
      <c r="H91" s="80">
        <v>12.6</v>
      </c>
      <c r="I91" s="172">
        <f t="shared" si="29"/>
        <v>15.22</v>
      </c>
      <c r="J91" s="81">
        <f t="shared" ref="J91" si="32">ROUND(G91*I91,2)</f>
        <v>6438.06</v>
      </c>
      <c r="K91" s="160" t="s">
        <v>371</v>
      </c>
    </row>
    <row r="92" spans="1:11" ht="14.45" customHeight="1" x14ac:dyDescent="0.2">
      <c r="A92" s="63"/>
      <c r="B92" s="94" t="s">
        <v>323</v>
      </c>
      <c r="C92" s="270" t="s">
        <v>191</v>
      </c>
      <c r="D92" s="271"/>
      <c r="E92" s="77" t="s">
        <v>231</v>
      </c>
      <c r="F92" s="78" t="s">
        <v>215</v>
      </c>
      <c r="G92" s="82">
        <f>'MEMORIAL DE CÁLCULO'!F92</f>
        <v>2</v>
      </c>
      <c r="H92" s="80">
        <f>2000</f>
        <v>2000</v>
      </c>
      <c r="I92" s="165" t="s">
        <v>268</v>
      </c>
      <c r="J92" s="81">
        <f>ROUND(G92*H92,2)</f>
        <v>4000</v>
      </c>
    </row>
    <row r="93" spans="1:11" x14ac:dyDescent="0.2">
      <c r="A93" s="63"/>
      <c r="B93" s="94" t="s">
        <v>324</v>
      </c>
      <c r="C93" s="270" t="s">
        <v>191</v>
      </c>
      <c r="D93" s="271"/>
      <c r="E93" s="77" t="s">
        <v>204</v>
      </c>
      <c r="F93" s="78" t="s">
        <v>203</v>
      </c>
      <c r="G93" s="82">
        <f>'MEMORIAL DE CÁLCULO'!F93</f>
        <v>18285</v>
      </c>
      <c r="H93" s="80">
        <f>650/1000</f>
        <v>0.65</v>
      </c>
      <c r="I93" s="172">
        <f>ROUND(H93*1.2079,2)</f>
        <v>0.79</v>
      </c>
      <c r="J93" s="81">
        <f t="shared" si="30"/>
        <v>14445.15</v>
      </c>
    </row>
    <row r="94" spans="1:11" x14ac:dyDescent="0.2">
      <c r="A94" s="63"/>
      <c r="B94" s="94" t="s">
        <v>325</v>
      </c>
      <c r="C94" s="270" t="s">
        <v>191</v>
      </c>
      <c r="D94" s="271"/>
      <c r="E94" s="77" t="s">
        <v>230</v>
      </c>
      <c r="F94" s="78" t="s">
        <v>215</v>
      </c>
      <c r="G94" s="82">
        <f>'MEMORIAL DE CÁLCULO'!F94</f>
        <v>2</v>
      </c>
      <c r="H94" s="80">
        <v>2000</v>
      </c>
      <c r="I94" s="165" t="s">
        <v>268</v>
      </c>
      <c r="J94" s="81">
        <f>ROUND(G94*H94,2)</f>
        <v>4000</v>
      </c>
    </row>
    <row r="95" spans="1:11" x14ac:dyDescent="0.2">
      <c r="A95" s="63"/>
      <c r="B95" s="94" t="s">
        <v>326</v>
      </c>
      <c r="C95" s="270" t="s">
        <v>191</v>
      </c>
      <c r="D95" s="271"/>
      <c r="E95" s="77" t="s">
        <v>335</v>
      </c>
      <c r="F95" s="78" t="s">
        <v>115</v>
      </c>
      <c r="G95" s="82">
        <f>'MEMORIAL DE CÁLCULO'!F95</f>
        <v>35.76</v>
      </c>
      <c r="H95" s="80">
        <v>5</v>
      </c>
      <c r="I95" s="172">
        <f>ROUND(H95*1.2079,2)</f>
        <v>6.04</v>
      </c>
      <c r="J95" s="81">
        <f t="shared" si="30"/>
        <v>215.99</v>
      </c>
    </row>
    <row r="96" spans="1:11" x14ac:dyDescent="0.2">
      <c r="A96" s="63"/>
      <c r="B96" s="94" t="s">
        <v>327</v>
      </c>
      <c r="C96" s="83" t="s">
        <v>94</v>
      </c>
      <c r="D96" s="196" t="s">
        <v>387</v>
      </c>
      <c r="E96" s="77" t="s">
        <v>386</v>
      </c>
      <c r="F96" s="85" t="s">
        <v>95</v>
      </c>
      <c r="G96" s="82">
        <f>'MEMORIAL DE CÁLCULO'!F96</f>
        <v>71.69</v>
      </c>
      <c r="H96" s="80">
        <v>79.400000000000006</v>
      </c>
      <c r="I96" s="80">
        <f t="shared" ref="I96:I102" si="33">ROUND(H96*1.3091,2)</f>
        <v>103.94</v>
      </c>
      <c r="J96" s="81">
        <f t="shared" si="30"/>
        <v>7451.46</v>
      </c>
    </row>
    <row r="97" spans="1:10" x14ac:dyDescent="0.2">
      <c r="A97" s="63"/>
      <c r="B97" s="94" t="s">
        <v>328</v>
      </c>
      <c r="C97" s="83" t="s">
        <v>94</v>
      </c>
      <c r="D97" s="196" t="s">
        <v>390</v>
      </c>
      <c r="E97" s="77" t="s">
        <v>389</v>
      </c>
      <c r="F97" s="85" t="s">
        <v>95</v>
      </c>
      <c r="G97" s="82">
        <f>'MEMORIAL DE CÁLCULO'!F97</f>
        <v>71.69</v>
      </c>
      <c r="H97" s="80">
        <v>38.200000000000003</v>
      </c>
      <c r="I97" s="80">
        <f t="shared" si="33"/>
        <v>50.01</v>
      </c>
      <c r="J97" s="81">
        <f t="shared" si="30"/>
        <v>3585.22</v>
      </c>
    </row>
    <row r="98" spans="1:10" ht="38.25" x14ac:dyDescent="0.2">
      <c r="A98" s="63"/>
      <c r="B98" s="94" t="s">
        <v>329</v>
      </c>
      <c r="C98" s="83" t="s">
        <v>94</v>
      </c>
      <c r="D98" s="209" t="s">
        <v>557</v>
      </c>
      <c r="E98" s="77" t="s">
        <v>556</v>
      </c>
      <c r="F98" s="78" t="s">
        <v>99</v>
      </c>
      <c r="G98" s="82">
        <f>'MEMORIAL DE CÁLCULO'!F98</f>
        <v>34</v>
      </c>
      <c r="H98" s="80">
        <v>59.44</v>
      </c>
      <c r="I98" s="80">
        <f t="shared" si="33"/>
        <v>77.81</v>
      </c>
      <c r="J98" s="81">
        <f t="shared" ref="J98" si="34">ROUND(G98*I98,2)</f>
        <v>2645.54</v>
      </c>
    </row>
    <row r="99" spans="1:10" ht="15" x14ac:dyDescent="0.2">
      <c r="A99" s="63"/>
      <c r="B99" s="94" t="s">
        <v>330</v>
      </c>
      <c r="C99" s="83" t="s">
        <v>97</v>
      </c>
      <c r="D99" s="76">
        <v>88323</v>
      </c>
      <c r="E99" s="77" t="s">
        <v>192</v>
      </c>
      <c r="F99" s="78" t="s">
        <v>193</v>
      </c>
      <c r="G99" s="82">
        <f>'MEMORIAL DE CÁLCULO'!F99</f>
        <v>517.5</v>
      </c>
      <c r="H99" s="80">
        <v>23.84</v>
      </c>
      <c r="I99" s="80">
        <f t="shared" si="33"/>
        <v>31.21</v>
      </c>
      <c r="J99" s="81">
        <f t="shared" si="30"/>
        <v>16151.18</v>
      </c>
    </row>
    <row r="100" spans="1:10" ht="15" x14ac:dyDescent="0.2">
      <c r="A100" s="63"/>
      <c r="B100" s="94" t="s">
        <v>331</v>
      </c>
      <c r="C100" s="83" t="s">
        <v>94</v>
      </c>
      <c r="D100" s="76" t="s">
        <v>218</v>
      </c>
      <c r="E100" s="77" t="s">
        <v>217</v>
      </c>
      <c r="F100" s="78" t="s">
        <v>193</v>
      </c>
      <c r="G100" s="82">
        <f>'MEMORIAL DE CÁLCULO'!F100</f>
        <v>1035</v>
      </c>
      <c r="H100" s="80">
        <v>19.52</v>
      </c>
      <c r="I100" s="80">
        <f t="shared" si="33"/>
        <v>25.55</v>
      </c>
      <c r="J100" s="81">
        <f t="shared" si="30"/>
        <v>26444.25</v>
      </c>
    </row>
    <row r="101" spans="1:10" ht="25.5" x14ac:dyDescent="0.2">
      <c r="A101" s="63"/>
      <c r="B101" s="94" t="s">
        <v>388</v>
      </c>
      <c r="C101" s="83" t="s">
        <v>97</v>
      </c>
      <c r="D101" s="76">
        <v>88262</v>
      </c>
      <c r="E101" s="77" t="s">
        <v>200</v>
      </c>
      <c r="F101" s="78" t="s">
        <v>193</v>
      </c>
      <c r="G101" s="82">
        <f>'MEMORIAL DE CÁLCULO'!F101</f>
        <v>480</v>
      </c>
      <c r="H101" s="80">
        <v>24.07</v>
      </c>
      <c r="I101" s="80">
        <f t="shared" si="33"/>
        <v>31.51</v>
      </c>
      <c r="J101" s="81">
        <f>ROUND(G101*I101,2)</f>
        <v>15124.8</v>
      </c>
    </row>
    <row r="102" spans="1:10" ht="25.5" x14ac:dyDescent="0.2">
      <c r="A102" s="63"/>
      <c r="B102" s="94" t="s">
        <v>558</v>
      </c>
      <c r="C102" s="83" t="s">
        <v>97</v>
      </c>
      <c r="D102" s="76">
        <v>88239</v>
      </c>
      <c r="E102" s="77" t="s">
        <v>199</v>
      </c>
      <c r="F102" s="78" t="s">
        <v>193</v>
      </c>
      <c r="G102" s="82">
        <f>'MEMORIAL DE CÁLCULO'!F102</f>
        <v>480</v>
      </c>
      <c r="H102" s="80">
        <v>19.52</v>
      </c>
      <c r="I102" s="80">
        <f t="shared" si="33"/>
        <v>25.55</v>
      </c>
      <c r="J102" s="81">
        <f t="shared" ref="J102" si="35">ROUND(G102*I102,2)</f>
        <v>12264</v>
      </c>
    </row>
    <row r="103" spans="1:10" ht="10.9" customHeight="1" x14ac:dyDescent="0.2">
      <c r="A103" s="63"/>
      <c r="B103" s="288"/>
      <c r="C103" s="289"/>
      <c r="D103" s="289"/>
      <c r="E103" s="289"/>
      <c r="F103" s="289"/>
      <c r="G103" s="289"/>
      <c r="H103" s="289"/>
      <c r="I103" s="289"/>
      <c r="J103" s="290"/>
    </row>
    <row r="104" spans="1:10" ht="15" x14ac:dyDescent="0.2">
      <c r="A104" s="63"/>
      <c r="B104" s="106" t="s">
        <v>135</v>
      </c>
      <c r="C104" s="272"/>
      <c r="D104" s="273"/>
      <c r="E104" s="112" t="s">
        <v>85</v>
      </c>
      <c r="F104" s="108"/>
      <c r="G104" s="140"/>
      <c r="H104" s="109"/>
      <c r="I104" s="110"/>
      <c r="J104" s="98">
        <f>SUM(J105:J112)</f>
        <v>28665.24</v>
      </c>
    </row>
    <row r="105" spans="1:10" ht="114.75" x14ac:dyDescent="0.2">
      <c r="A105" s="63"/>
      <c r="B105" s="94" t="s">
        <v>136</v>
      </c>
      <c r="C105" s="83" t="s">
        <v>94</v>
      </c>
      <c r="D105" s="76" t="s">
        <v>116</v>
      </c>
      <c r="E105" s="77" t="s">
        <v>137</v>
      </c>
      <c r="F105" s="78" t="s">
        <v>115</v>
      </c>
      <c r="G105" s="82">
        <f>'MEMORIAL DE CÁLCULO'!F105</f>
        <v>31</v>
      </c>
      <c r="H105" s="80">
        <v>402.85</v>
      </c>
      <c r="I105" s="80">
        <f t="shared" ref="I105:I109" si="36">ROUND(H105*1.3091,2)</f>
        <v>527.37</v>
      </c>
      <c r="J105" s="81">
        <f t="shared" ref="J105:J109" si="37">ROUND(G105*I105,2)</f>
        <v>16348.47</v>
      </c>
    </row>
    <row r="106" spans="1:10" ht="114.75" x14ac:dyDescent="0.2">
      <c r="A106" s="63"/>
      <c r="B106" s="94" t="s">
        <v>140</v>
      </c>
      <c r="C106" s="83" t="s">
        <v>94</v>
      </c>
      <c r="D106" s="76" t="s">
        <v>254</v>
      </c>
      <c r="E106" s="77" t="s">
        <v>253</v>
      </c>
      <c r="F106" s="78" t="s">
        <v>115</v>
      </c>
      <c r="G106" s="82">
        <f>'MEMORIAL DE CÁLCULO'!F106</f>
        <v>14</v>
      </c>
      <c r="H106" s="80">
        <v>229.21</v>
      </c>
      <c r="I106" s="80">
        <f t="shared" si="36"/>
        <v>300.06</v>
      </c>
      <c r="J106" s="81">
        <f t="shared" ref="J106" si="38">ROUND(G106*I106,2)</f>
        <v>4200.84</v>
      </c>
    </row>
    <row r="107" spans="1:10" ht="89.25" x14ac:dyDescent="0.2">
      <c r="A107" s="63"/>
      <c r="B107" s="94" t="s">
        <v>210</v>
      </c>
      <c r="C107" s="83" t="s">
        <v>94</v>
      </c>
      <c r="D107" s="76" t="s">
        <v>259</v>
      </c>
      <c r="E107" s="77" t="s">
        <v>258</v>
      </c>
      <c r="F107" s="78" t="s">
        <v>115</v>
      </c>
      <c r="G107" s="82">
        <f>'MEMORIAL DE CÁLCULO'!F107</f>
        <v>35</v>
      </c>
      <c r="H107" s="80">
        <v>142.19</v>
      </c>
      <c r="I107" s="80">
        <f t="shared" si="36"/>
        <v>186.14</v>
      </c>
      <c r="J107" s="81">
        <f t="shared" ref="J107" si="39">ROUND(G107*I107,2)</f>
        <v>6514.9</v>
      </c>
    </row>
    <row r="108" spans="1:10" ht="102" x14ac:dyDescent="0.2">
      <c r="A108" s="63"/>
      <c r="B108" s="94" t="s">
        <v>211</v>
      </c>
      <c r="C108" s="83" t="s">
        <v>94</v>
      </c>
      <c r="D108" s="76" t="s">
        <v>261</v>
      </c>
      <c r="E108" s="77" t="s">
        <v>260</v>
      </c>
      <c r="F108" s="78" t="s">
        <v>115</v>
      </c>
      <c r="G108" s="82">
        <f>'MEMORIAL DE CÁLCULO'!F108</f>
        <v>2</v>
      </c>
      <c r="H108" s="80">
        <v>260.69</v>
      </c>
      <c r="I108" s="80">
        <f t="shared" si="36"/>
        <v>341.27</v>
      </c>
      <c r="J108" s="81">
        <f t="shared" ref="J108" si="40">ROUND(G108*I108,2)</f>
        <v>682.54</v>
      </c>
    </row>
    <row r="109" spans="1:10" ht="38.25" x14ac:dyDescent="0.2">
      <c r="A109" s="63"/>
      <c r="B109" s="94" t="s">
        <v>332</v>
      </c>
      <c r="C109" s="83" t="s">
        <v>97</v>
      </c>
      <c r="D109" s="76">
        <v>101876</v>
      </c>
      <c r="E109" s="77" t="s">
        <v>117</v>
      </c>
      <c r="F109" s="88" t="s">
        <v>103</v>
      </c>
      <c r="G109" s="82">
        <f>'MEMORIAL DE CÁLCULO'!F109</f>
        <v>2</v>
      </c>
      <c r="H109" s="80">
        <v>75.2</v>
      </c>
      <c r="I109" s="80">
        <f t="shared" si="36"/>
        <v>98.44</v>
      </c>
      <c r="J109" s="81">
        <f t="shared" si="37"/>
        <v>196.88</v>
      </c>
    </row>
    <row r="110" spans="1:10" ht="15" x14ac:dyDescent="0.2">
      <c r="A110" s="63"/>
      <c r="B110" s="113" t="s">
        <v>140</v>
      </c>
      <c r="C110" s="114"/>
      <c r="D110" s="99"/>
      <c r="E110" s="115" t="s">
        <v>113</v>
      </c>
      <c r="F110" s="116"/>
      <c r="G110" s="141"/>
      <c r="H110" s="103"/>
      <c r="I110" s="103"/>
      <c r="J110" s="117"/>
    </row>
    <row r="111" spans="1:10" ht="15" x14ac:dyDescent="0.2">
      <c r="A111" s="63"/>
      <c r="B111" s="94" t="s">
        <v>333</v>
      </c>
      <c r="C111" s="83" t="s">
        <v>97</v>
      </c>
      <c r="D111" s="76">
        <v>34653</v>
      </c>
      <c r="E111" s="95" t="s">
        <v>114</v>
      </c>
      <c r="F111" s="88" t="s">
        <v>103</v>
      </c>
      <c r="G111" s="82">
        <f>'MEMORIAL DE CÁLCULO'!F111</f>
        <v>6</v>
      </c>
      <c r="H111" s="80">
        <v>15.9</v>
      </c>
      <c r="I111" s="80">
        <f t="shared" ref="I111:I112" si="41">ROUND(H111*1.3091,2)</f>
        <v>20.81</v>
      </c>
      <c r="J111" s="81">
        <f>ROUND(G111*I111,2)</f>
        <v>124.86</v>
      </c>
    </row>
    <row r="112" spans="1:10" ht="15" x14ac:dyDescent="0.2">
      <c r="A112" s="63"/>
      <c r="B112" s="94" t="s">
        <v>415</v>
      </c>
      <c r="C112" s="83" t="s">
        <v>97</v>
      </c>
      <c r="D112" s="76">
        <v>34616</v>
      </c>
      <c r="E112" s="95" t="s">
        <v>416</v>
      </c>
      <c r="F112" s="88" t="s">
        <v>103</v>
      </c>
      <c r="G112" s="82">
        <f>'MEMORIAL DE CÁLCULO'!F112</f>
        <v>5</v>
      </c>
      <c r="H112" s="80">
        <v>91.17</v>
      </c>
      <c r="I112" s="80">
        <f t="shared" si="41"/>
        <v>119.35</v>
      </c>
      <c r="J112" s="81">
        <f>ROUND(G112*I112,2)</f>
        <v>596.75</v>
      </c>
    </row>
    <row r="113" spans="1:11" ht="9.6" customHeight="1" x14ac:dyDescent="0.2">
      <c r="A113" s="63"/>
      <c r="B113" s="288"/>
      <c r="C113" s="289"/>
      <c r="D113" s="289"/>
      <c r="E113" s="289"/>
      <c r="F113" s="289"/>
      <c r="G113" s="289"/>
      <c r="H113" s="289"/>
      <c r="I113" s="289"/>
      <c r="J113" s="290"/>
    </row>
    <row r="114" spans="1:11" ht="15" x14ac:dyDescent="0.2">
      <c r="A114" s="63"/>
      <c r="B114" s="118" t="s">
        <v>90</v>
      </c>
      <c r="C114" s="272"/>
      <c r="D114" s="273"/>
      <c r="E114" s="112" t="s">
        <v>84</v>
      </c>
      <c r="F114" s="108"/>
      <c r="G114" s="140"/>
      <c r="H114" s="109"/>
      <c r="I114" s="110"/>
      <c r="J114" s="98">
        <f>SUM(J115:J118)</f>
        <v>67192.210000000006</v>
      </c>
    </row>
    <row r="115" spans="1:11" ht="38.25" x14ac:dyDescent="0.2">
      <c r="A115" s="63"/>
      <c r="B115" s="94" t="s">
        <v>108</v>
      </c>
      <c r="C115" s="83" t="s">
        <v>97</v>
      </c>
      <c r="D115" s="76">
        <v>87878</v>
      </c>
      <c r="E115" s="77" t="s">
        <v>269</v>
      </c>
      <c r="F115" s="91" t="s">
        <v>95</v>
      </c>
      <c r="G115" s="82">
        <f>'MEMORIAL DE CÁLCULO'!F115</f>
        <v>954</v>
      </c>
      <c r="H115" s="80">
        <v>4.3899999999999997</v>
      </c>
      <c r="I115" s="80">
        <f t="shared" ref="I115:I118" si="42">ROUND(H115*1.3091,2)</f>
        <v>5.75</v>
      </c>
      <c r="J115" s="81">
        <f t="shared" ref="J115" si="43">ROUND(G115*I115,2)</f>
        <v>5485.5</v>
      </c>
    </row>
    <row r="116" spans="1:11" ht="38.25" x14ac:dyDescent="0.2">
      <c r="A116" s="63"/>
      <c r="B116" s="94" t="s">
        <v>109</v>
      </c>
      <c r="C116" s="83" t="s">
        <v>94</v>
      </c>
      <c r="D116" s="73" t="s">
        <v>271</v>
      </c>
      <c r="E116" s="75" t="s">
        <v>270</v>
      </c>
      <c r="F116" s="85" t="s">
        <v>95</v>
      </c>
      <c r="G116" s="82">
        <f>'MEMORIAL DE CÁLCULO'!F116</f>
        <v>733.84</v>
      </c>
      <c r="H116" s="80">
        <v>34.46</v>
      </c>
      <c r="I116" s="80">
        <f t="shared" si="42"/>
        <v>45.11</v>
      </c>
      <c r="J116" s="81">
        <f t="shared" ref="J116:J118" si="44">ROUND(G116*I116,2)</f>
        <v>33103.519999999997</v>
      </c>
    </row>
    <row r="117" spans="1:11" ht="25.5" x14ac:dyDescent="0.2">
      <c r="A117" s="63"/>
      <c r="B117" s="94" t="s">
        <v>110</v>
      </c>
      <c r="C117" s="83" t="s">
        <v>94</v>
      </c>
      <c r="D117" s="73" t="s">
        <v>155</v>
      </c>
      <c r="E117" s="75" t="s">
        <v>154</v>
      </c>
      <c r="F117" s="85" t="s">
        <v>95</v>
      </c>
      <c r="G117" s="82">
        <f>'MEMORIAL DE CÁLCULO'!F117</f>
        <v>220.16</v>
      </c>
      <c r="H117" s="80">
        <v>29.89</v>
      </c>
      <c r="I117" s="80">
        <f t="shared" si="42"/>
        <v>39.130000000000003</v>
      </c>
      <c r="J117" s="81">
        <f t="shared" si="44"/>
        <v>8614.86</v>
      </c>
    </row>
    <row r="118" spans="1:11" ht="63.75" x14ac:dyDescent="0.2">
      <c r="A118" s="63"/>
      <c r="B118" s="94" t="s">
        <v>124</v>
      </c>
      <c r="C118" s="83" t="s">
        <v>94</v>
      </c>
      <c r="D118" s="73" t="s">
        <v>142</v>
      </c>
      <c r="E118" s="75" t="s">
        <v>141</v>
      </c>
      <c r="F118" s="85" t="s">
        <v>95</v>
      </c>
      <c r="G118" s="82">
        <f>'MEMORIAL DE CÁLCULO'!F118</f>
        <v>220.16</v>
      </c>
      <c r="H118" s="80">
        <v>69.349999999999994</v>
      </c>
      <c r="I118" s="80">
        <f t="shared" si="42"/>
        <v>90.79</v>
      </c>
      <c r="J118" s="81">
        <f t="shared" si="44"/>
        <v>19988.330000000002</v>
      </c>
    </row>
    <row r="119" spans="1:11" ht="10.15" customHeight="1" x14ac:dyDescent="0.2">
      <c r="A119" s="63"/>
      <c r="B119" s="288"/>
      <c r="C119" s="289"/>
      <c r="D119" s="289"/>
      <c r="E119" s="289"/>
      <c r="F119" s="289"/>
      <c r="G119" s="289"/>
      <c r="H119" s="289"/>
      <c r="I119" s="289"/>
      <c r="J119" s="290"/>
    </row>
    <row r="120" spans="1:11" ht="15" x14ac:dyDescent="0.2">
      <c r="A120" s="63"/>
      <c r="B120" s="106" t="s">
        <v>91</v>
      </c>
      <c r="C120" s="272"/>
      <c r="D120" s="273"/>
      <c r="E120" s="112" t="s">
        <v>119</v>
      </c>
      <c r="F120" s="108"/>
      <c r="G120" s="140"/>
      <c r="H120" s="109"/>
      <c r="I120" s="110"/>
      <c r="J120" s="98">
        <f>SUM(J121:J125)</f>
        <v>74580.14</v>
      </c>
    </row>
    <row r="121" spans="1:11" ht="25.5" x14ac:dyDescent="0.2">
      <c r="A121" s="63"/>
      <c r="B121" s="94" t="s">
        <v>166</v>
      </c>
      <c r="C121" s="83" t="s">
        <v>94</v>
      </c>
      <c r="D121" s="76" t="s">
        <v>206</v>
      </c>
      <c r="E121" s="77" t="s">
        <v>205</v>
      </c>
      <c r="F121" s="89" t="s">
        <v>95</v>
      </c>
      <c r="G121" s="82">
        <f>'MEMORIAL DE CÁLCULO'!F121</f>
        <v>474</v>
      </c>
      <c r="H121" s="80">
        <v>39.229999999999997</v>
      </c>
      <c r="I121" s="80">
        <f t="shared" ref="I121:I125" si="45">ROUND(H121*1.3091,2)</f>
        <v>51.36</v>
      </c>
      <c r="J121" s="81">
        <f t="shared" ref="J121:J125" si="46">ROUND(G121*I121,2)</f>
        <v>24344.639999999999</v>
      </c>
    </row>
    <row r="122" spans="1:11" ht="38.25" x14ac:dyDescent="0.2">
      <c r="A122" s="63"/>
      <c r="B122" s="94" t="s">
        <v>306</v>
      </c>
      <c r="C122" s="83" t="s">
        <v>94</v>
      </c>
      <c r="D122" s="76" t="str">
        <f>'MEMORIAL DE CÁLCULO'!C122</f>
        <v>ED-13286</v>
      </c>
      <c r="E122" s="77" t="str">
        <f>'MEMORIAL DE CÁLCULO'!D122</f>
        <v>CAMADA DE REGULARIZAÇÃO COM ARGAMASSA, TRAÇO 1:3 (
CIMENTO E AREIA), ESP. 15MM, APLICAÇÃO MANUAL, PREPARO
MECÂNICO</v>
      </c>
      <c r="F122" s="89" t="s">
        <v>95</v>
      </c>
      <c r="G122" s="82">
        <f>'MEMORIAL DE CÁLCULO'!F122</f>
        <v>391.45</v>
      </c>
      <c r="H122" s="80">
        <v>30.06</v>
      </c>
      <c r="I122" s="80">
        <f t="shared" si="45"/>
        <v>39.35</v>
      </c>
      <c r="J122" s="81">
        <f t="shared" ref="J122" si="47">ROUND(G122*I122,2)</f>
        <v>15403.56</v>
      </c>
    </row>
    <row r="123" spans="1:11" ht="38.25" x14ac:dyDescent="0.2">
      <c r="A123" s="63"/>
      <c r="B123" s="94" t="s">
        <v>334</v>
      </c>
      <c r="C123" s="83" t="s">
        <v>94</v>
      </c>
      <c r="D123" s="76" t="s">
        <v>208</v>
      </c>
      <c r="E123" s="77" t="s">
        <v>207</v>
      </c>
      <c r="F123" s="89" t="s">
        <v>95</v>
      </c>
      <c r="G123" s="82">
        <f>'MEMORIAL DE CÁLCULO'!F123</f>
        <v>391.45</v>
      </c>
      <c r="H123" s="80">
        <v>48.68</v>
      </c>
      <c r="I123" s="80">
        <f t="shared" si="45"/>
        <v>63.73</v>
      </c>
      <c r="J123" s="81">
        <f t="shared" si="46"/>
        <v>24947.11</v>
      </c>
      <c r="K123" s="160" t="s">
        <v>213</v>
      </c>
    </row>
    <row r="124" spans="1:11" ht="15" x14ac:dyDescent="0.2">
      <c r="A124" s="63"/>
      <c r="B124" s="94" t="s">
        <v>249</v>
      </c>
      <c r="C124" s="83" t="s">
        <v>97</v>
      </c>
      <c r="D124" s="76">
        <v>92800</v>
      </c>
      <c r="E124" s="77" t="s">
        <v>209</v>
      </c>
      <c r="F124" s="89" t="s">
        <v>98</v>
      </c>
      <c r="G124" s="82">
        <f>'MEMORIAL DE CÁLCULO'!F124</f>
        <v>73.069999999999993</v>
      </c>
      <c r="H124" s="80">
        <v>10.220000000000001</v>
      </c>
      <c r="I124" s="80">
        <f t="shared" si="45"/>
        <v>13.38</v>
      </c>
      <c r="J124" s="81">
        <f t="shared" si="46"/>
        <v>977.68</v>
      </c>
    </row>
    <row r="125" spans="1:11" ht="63.75" x14ac:dyDescent="0.2">
      <c r="A125" s="63"/>
      <c r="B125" s="94" t="s">
        <v>525</v>
      </c>
      <c r="C125" s="83" t="s">
        <v>94</v>
      </c>
      <c r="D125" s="76" t="s">
        <v>139</v>
      </c>
      <c r="E125" s="77" t="s">
        <v>138</v>
      </c>
      <c r="F125" s="89" t="s">
        <v>95</v>
      </c>
      <c r="G125" s="82">
        <f>'MEMORIAL DE CÁLCULO'!F125</f>
        <v>82.55</v>
      </c>
      <c r="H125" s="80">
        <v>82.42</v>
      </c>
      <c r="I125" s="80">
        <f t="shared" si="45"/>
        <v>107.9</v>
      </c>
      <c r="J125" s="81">
        <f t="shared" si="46"/>
        <v>8907.15</v>
      </c>
      <c r="K125" s="160" t="s">
        <v>212</v>
      </c>
    </row>
    <row r="126" spans="1:11" ht="11.45" customHeight="1" x14ac:dyDescent="0.2">
      <c r="A126" s="63"/>
      <c r="B126" s="288"/>
      <c r="C126" s="289"/>
      <c r="D126" s="289"/>
      <c r="E126" s="289"/>
      <c r="F126" s="289"/>
      <c r="G126" s="289"/>
      <c r="H126" s="289"/>
      <c r="I126" s="289"/>
      <c r="J126" s="290"/>
    </row>
    <row r="127" spans="1:11" ht="15" x14ac:dyDescent="0.2">
      <c r="A127" s="63"/>
      <c r="B127" s="106" t="s">
        <v>159</v>
      </c>
      <c r="C127" s="272"/>
      <c r="D127" s="273"/>
      <c r="E127" s="112" t="s">
        <v>86</v>
      </c>
      <c r="F127" s="108"/>
      <c r="G127" s="140"/>
      <c r="H127" s="109"/>
      <c r="I127" s="110"/>
      <c r="J127" s="98">
        <f>SUM(J128:J130)</f>
        <v>11901.14</v>
      </c>
    </row>
    <row r="128" spans="1:11" ht="25.5" x14ac:dyDescent="0.2">
      <c r="A128" s="63"/>
      <c r="B128" s="94" t="s">
        <v>160</v>
      </c>
      <c r="C128" s="83" t="s">
        <v>97</v>
      </c>
      <c r="D128" s="76">
        <v>88489</v>
      </c>
      <c r="E128" s="77" t="s">
        <v>102</v>
      </c>
      <c r="F128" s="78" t="s">
        <v>95</v>
      </c>
      <c r="G128" s="82">
        <f>'MEMORIAL DE CÁLCULO'!F128</f>
        <v>733.84</v>
      </c>
      <c r="H128" s="80">
        <v>10.45</v>
      </c>
      <c r="I128" s="80">
        <f t="shared" ref="I128:I130" si="48">ROUND(H128*1.3091,2)</f>
        <v>13.68</v>
      </c>
      <c r="J128" s="81">
        <f t="shared" ref="J128" si="49">ROUND(G128*I128,2)</f>
        <v>10038.93</v>
      </c>
    </row>
    <row r="129" spans="1:10" ht="25.5" x14ac:dyDescent="0.2">
      <c r="A129" s="63"/>
      <c r="B129" s="94" t="s">
        <v>161</v>
      </c>
      <c r="C129" s="83" t="s">
        <v>94</v>
      </c>
      <c r="D129" s="76" t="s">
        <v>111</v>
      </c>
      <c r="E129" s="77" t="s">
        <v>112</v>
      </c>
      <c r="F129" s="91" t="s">
        <v>95</v>
      </c>
      <c r="G129" s="82">
        <f>'MEMORIAL DE CÁLCULO'!F129</f>
        <v>1.26</v>
      </c>
      <c r="H129" s="80">
        <v>23.77</v>
      </c>
      <c r="I129" s="80">
        <f t="shared" si="48"/>
        <v>31.12</v>
      </c>
      <c r="J129" s="81">
        <f t="shared" ref="J129:J130" si="50">ROUND(G129*I129,2)</f>
        <v>39.21</v>
      </c>
    </row>
    <row r="130" spans="1:10" ht="25.5" x14ac:dyDescent="0.2">
      <c r="A130" s="63"/>
      <c r="B130" s="94" t="s">
        <v>162</v>
      </c>
      <c r="C130" s="83" t="s">
        <v>94</v>
      </c>
      <c r="D130" s="76" t="s">
        <v>127</v>
      </c>
      <c r="E130" s="77" t="s">
        <v>126</v>
      </c>
      <c r="F130" s="78" t="s">
        <v>95</v>
      </c>
      <c r="G130" s="82">
        <f>'MEMORIAL DE CÁLCULO'!F130</f>
        <v>50</v>
      </c>
      <c r="H130" s="80">
        <v>27.85</v>
      </c>
      <c r="I130" s="80">
        <f t="shared" si="48"/>
        <v>36.46</v>
      </c>
      <c r="J130" s="81">
        <f t="shared" si="50"/>
        <v>1823</v>
      </c>
    </row>
    <row r="131" spans="1:10" ht="10.9" customHeight="1" x14ac:dyDescent="0.2">
      <c r="A131" s="63"/>
      <c r="B131" s="288"/>
      <c r="C131" s="289"/>
      <c r="D131" s="289"/>
      <c r="E131" s="289"/>
      <c r="F131" s="289"/>
      <c r="G131" s="289"/>
      <c r="H131" s="289"/>
      <c r="I131" s="289"/>
      <c r="J131" s="290"/>
    </row>
    <row r="132" spans="1:10" ht="15" x14ac:dyDescent="0.2">
      <c r="A132" s="63"/>
      <c r="B132" s="106" t="s">
        <v>163</v>
      </c>
      <c r="C132" s="107"/>
      <c r="D132" s="84"/>
      <c r="E132" s="112" t="s">
        <v>250</v>
      </c>
      <c r="F132" s="108"/>
      <c r="G132" s="140"/>
      <c r="H132" s="109"/>
      <c r="I132" s="110"/>
      <c r="J132" s="98">
        <f>SUM(J133:J133)</f>
        <v>4066.5</v>
      </c>
    </row>
    <row r="133" spans="1:10" ht="63.75" x14ac:dyDescent="0.2">
      <c r="A133" s="63"/>
      <c r="B133" s="94" t="s">
        <v>164</v>
      </c>
      <c r="C133" s="83" t="s">
        <v>94</v>
      </c>
      <c r="D133" s="91" t="s">
        <v>252</v>
      </c>
      <c r="E133" s="90" t="s">
        <v>251</v>
      </c>
      <c r="F133" s="78" t="s">
        <v>203</v>
      </c>
      <c r="G133" s="82">
        <f>'MEMORIAL DE CÁLCULO'!F133</f>
        <v>25</v>
      </c>
      <c r="H133" s="80">
        <v>124.25</v>
      </c>
      <c r="I133" s="80">
        <f>ROUND(H133*1.3091,2)</f>
        <v>162.66</v>
      </c>
      <c r="J133" s="81">
        <f t="shared" ref="J133" si="51">ROUND(G133*I133,2)</f>
        <v>4066.5</v>
      </c>
    </row>
    <row r="134" spans="1:10" ht="11.45" customHeight="1" x14ac:dyDescent="0.2">
      <c r="A134" s="63"/>
      <c r="B134" s="288"/>
      <c r="C134" s="289"/>
      <c r="D134" s="289"/>
      <c r="E134" s="289"/>
      <c r="F134" s="289"/>
      <c r="G134" s="289"/>
      <c r="H134" s="289"/>
      <c r="I134" s="289"/>
      <c r="J134" s="290"/>
    </row>
    <row r="135" spans="1:10" ht="15" x14ac:dyDescent="0.2">
      <c r="A135" s="63"/>
      <c r="B135" s="106" t="s">
        <v>337</v>
      </c>
      <c r="C135" s="107"/>
      <c r="D135" s="84"/>
      <c r="E135" s="112" t="s">
        <v>157</v>
      </c>
      <c r="F135" s="108"/>
      <c r="G135" s="140"/>
      <c r="H135" s="109"/>
      <c r="I135" s="110"/>
      <c r="J135" s="98">
        <f>SUM(J136:J137)</f>
        <v>8748.0400000000009</v>
      </c>
    </row>
    <row r="136" spans="1:10" ht="63.75" x14ac:dyDescent="0.2">
      <c r="A136" s="63"/>
      <c r="B136" s="94" t="s">
        <v>338</v>
      </c>
      <c r="C136" s="83" t="s">
        <v>94</v>
      </c>
      <c r="D136" s="91" t="s">
        <v>246</v>
      </c>
      <c r="E136" s="90" t="s">
        <v>245</v>
      </c>
      <c r="F136" s="78" t="s">
        <v>203</v>
      </c>
      <c r="G136" s="82">
        <f>'MEMORIAL DE CÁLCULO'!F136</f>
        <v>7</v>
      </c>
      <c r="H136" s="80">
        <v>311.89999999999998</v>
      </c>
      <c r="I136" s="80">
        <f t="shared" ref="I136:I137" si="52">ROUND(H136*1.3091,2)</f>
        <v>408.31</v>
      </c>
      <c r="J136" s="81">
        <f t="shared" ref="J136" si="53">ROUND(G136*I136,2)</f>
        <v>2858.17</v>
      </c>
    </row>
    <row r="137" spans="1:10" ht="76.5" x14ac:dyDescent="0.2">
      <c r="A137" s="63"/>
      <c r="B137" s="94" t="s">
        <v>339</v>
      </c>
      <c r="C137" s="83" t="s">
        <v>94</v>
      </c>
      <c r="D137" s="91" t="s">
        <v>248</v>
      </c>
      <c r="E137" s="90" t="s">
        <v>247</v>
      </c>
      <c r="F137" s="78" t="s">
        <v>203</v>
      </c>
      <c r="G137" s="82">
        <f>'MEMORIAL DE CÁLCULO'!F137</f>
        <v>21</v>
      </c>
      <c r="H137" s="80">
        <v>214.25</v>
      </c>
      <c r="I137" s="80">
        <f t="shared" si="52"/>
        <v>280.47000000000003</v>
      </c>
      <c r="J137" s="81">
        <f t="shared" ref="J137" si="54">ROUND(G137*I137,2)</f>
        <v>5889.87</v>
      </c>
    </row>
    <row r="138" spans="1:10" ht="10.15" customHeight="1" x14ac:dyDescent="0.2">
      <c r="A138" s="63"/>
      <c r="B138" s="288"/>
      <c r="C138" s="289"/>
      <c r="D138" s="289"/>
      <c r="E138" s="289"/>
      <c r="F138" s="289"/>
      <c r="G138" s="289"/>
      <c r="H138" s="289"/>
      <c r="I138" s="289"/>
      <c r="J138" s="290"/>
    </row>
    <row r="139" spans="1:10" ht="15" x14ac:dyDescent="0.2">
      <c r="A139" s="63"/>
      <c r="B139" s="106" t="s">
        <v>340</v>
      </c>
      <c r="C139" s="272"/>
      <c r="D139" s="273"/>
      <c r="E139" s="112" t="s">
        <v>158</v>
      </c>
      <c r="F139" s="108"/>
      <c r="G139" s="140"/>
      <c r="H139" s="109"/>
      <c r="I139" s="110"/>
      <c r="J139" s="98">
        <f>SUM(J140:J152)</f>
        <v>17839.38</v>
      </c>
    </row>
    <row r="140" spans="1:10" ht="51" x14ac:dyDescent="0.2">
      <c r="A140" s="63"/>
      <c r="B140" s="94" t="s">
        <v>341</v>
      </c>
      <c r="C140" s="83" t="s">
        <v>94</v>
      </c>
      <c r="D140" s="91" t="s">
        <v>144</v>
      </c>
      <c r="E140" s="90" t="s">
        <v>145</v>
      </c>
      <c r="F140" s="78" t="s">
        <v>115</v>
      </c>
      <c r="G140" s="82">
        <f>'MEMORIAL DE CÁLCULO'!F140</f>
        <v>7</v>
      </c>
      <c r="H140" s="80">
        <v>532.77</v>
      </c>
      <c r="I140" s="80">
        <f t="shared" ref="I140:I152" si="55">ROUND(H140*1.3091,2)</f>
        <v>697.45</v>
      </c>
      <c r="J140" s="81">
        <f t="shared" ref="J140:J147" si="56">ROUND(G140*I140,2)</f>
        <v>4882.1499999999996</v>
      </c>
    </row>
    <row r="141" spans="1:10" ht="51" x14ac:dyDescent="0.2">
      <c r="A141" s="63"/>
      <c r="B141" s="94" t="s">
        <v>342</v>
      </c>
      <c r="C141" s="83" t="s">
        <v>94</v>
      </c>
      <c r="D141" s="91" t="s">
        <v>265</v>
      </c>
      <c r="E141" s="90" t="s">
        <v>264</v>
      </c>
      <c r="F141" s="78" t="s">
        <v>115</v>
      </c>
      <c r="G141" s="82">
        <f>'MEMORIAL DE CÁLCULO'!F141</f>
        <v>9</v>
      </c>
      <c r="H141" s="80">
        <v>384.74</v>
      </c>
      <c r="I141" s="80">
        <f t="shared" si="55"/>
        <v>503.66</v>
      </c>
      <c r="J141" s="81">
        <f t="shared" si="56"/>
        <v>4532.9399999999996</v>
      </c>
    </row>
    <row r="142" spans="1:10" x14ac:dyDescent="0.2">
      <c r="A142" s="63"/>
      <c r="B142" s="94" t="s">
        <v>343</v>
      </c>
      <c r="C142" s="270" t="s">
        <v>191</v>
      </c>
      <c r="D142" s="271"/>
      <c r="E142" s="90" t="s">
        <v>214</v>
      </c>
      <c r="F142" s="78" t="s">
        <v>115</v>
      </c>
      <c r="G142" s="82">
        <f>'MEMORIAL DE CÁLCULO'!F142</f>
        <v>9</v>
      </c>
      <c r="H142" s="80">
        <v>250</v>
      </c>
      <c r="I142" s="80">
        <f t="shared" si="55"/>
        <v>327.27999999999997</v>
      </c>
      <c r="J142" s="81">
        <f t="shared" ref="J142:J143" si="57">ROUND(G142*I142,2)</f>
        <v>2945.52</v>
      </c>
    </row>
    <row r="143" spans="1:10" ht="51" x14ac:dyDescent="0.2">
      <c r="A143" s="63"/>
      <c r="B143" s="94" t="s">
        <v>344</v>
      </c>
      <c r="C143" s="83" t="s">
        <v>94</v>
      </c>
      <c r="D143" s="196" t="s">
        <v>379</v>
      </c>
      <c r="E143" s="90" t="s">
        <v>378</v>
      </c>
      <c r="F143" s="78" t="s">
        <v>115</v>
      </c>
      <c r="G143" s="82">
        <f>'MEMORIAL DE CÁLCULO'!F143</f>
        <v>1</v>
      </c>
      <c r="H143" s="80">
        <v>156.08000000000001</v>
      </c>
      <c r="I143" s="80">
        <f t="shared" si="55"/>
        <v>204.32</v>
      </c>
      <c r="J143" s="81">
        <f t="shared" si="57"/>
        <v>204.32</v>
      </c>
    </row>
    <row r="144" spans="1:10" ht="25.5" x14ac:dyDescent="0.2">
      <c r="A144" s="63"/>
      <c r="B144" s="94" t="s">
        <v>345</v>
      </c>
      <c r="C144" s="83" t="s">
        <v>94</v>
      </c>
      <c r="D144" s="196" t="s">
        <v>377</v>
      </c>
      <c r="E144" s="90" t="s">
        <v>376</v>
      </c>
      <c r="F144" s="78" t="s">
        <v>115</v>
      </c>
      <c r="G144" s="82">
        <f>'MEMORIAL DE CÁLCULO'!F144</f>
        <v>2</v>
      </c>
      <c r="H144" s="80">
        <v>70.08</v>
      </c>
      <c r="I144" s="80">
        <f t="shared" si="55"/>
        <v>91.74</v>
      </c>
      <c r="J144" s="81">
        <f t="shared" ref="J144" si="58">ROUND(G144*I144,2)</f>
        <v>183.48</v>
      </c>
    </row>
    <row r="145" spans="1:10" ht="38.25" x14ac:dyDescent="0.2">
      <c r="A145" s="63"/>
      <c r="B145" s="94" t="s">
        <v>346</v>
      </c>
      <c r="C145" s="83" t="s">
        <v>94</v>
      </c>
      <c r="D145" s="91" t="s">
        <v>146</v>
      </c>
      <c r="E145" s="90" t="s">
        <v>147</v>
      </c>
      <c r="F145" s="78" t="s">
        <v>115</v>
      </c>
      <c r="G145" s="82">
        <f>'MEMORIAL DE CÁLCULO'!F145</f>
        <v>5</v>
      </c>
      <c r="H145" s="80">
        <v>62.4</v>
      </c>
      <c r="I145" s="80">
        <f t="shared" si="55"/>
        <v>81.69</v>
      </c>
      <c r="J145" s="81">
        <f t="shared" si="56"/>
        <v>408.45</v>
      </c>
    </row>
    <row r="146" spans="1:10" ht="25.5" x14ac:dyDescent="0.2">
      <c r="A146" s="63"/>
      <c r="B146" s="94" t="s">
        <v>347</v>
      </c>
      <c r="C146" s="83" t="s">
        <v>94</v>
      </c>
      <c r="D146" s="91" t="s">
        <v>267</v>
      </c>
      <c r="E146" s="90" t="s">
        <v>266</v>
      </c>
      <c r="F146" s="78" t="s">
        <v>115</v>
      </c>
      <c r="G146" s="82">
        <f>'MEMORIAL DE CÁLCULO'!F146</f>
        <v>2</v>
      </c>
      <c r="H146" s="80">
        <v>55.31</v>
      </c>
      <c r="I146" s="80">
        <f t="shared" si="55"/>
        <v>72.41</v>
      </c>
      <c r="J146" s="81">
        <f t="shared" ref="J146" si="59">ROUND(G146*I146,2)</f>
        <v>144.82</v>
      </c>
    </row>
    <row r="147" spans="1:10" x14ac:dyDescent="0.2">
      <c r="A147" s="63"/>
      <c r="B147" s="94" t="s">
        <v>348</v>
      </c>
      <c r="C147" s="83" t="s">
        <v>94</v>
      </c>
      <c r="D147" s="91" t="s">
        <v>149</v>
      </c>
      <c r="E147" s="90" t="s">
        <v>148</v>
      </c>
      <c r="F147" s="78" t="s">
        <v>115</v>
      </c>
      <c r="G147" s="82">
        <f>'MEMORIAL DE CÁLCULO'!F147</f>
        <v>7</v>
      </c>
      <c r="H147" s="80">
        <v>56.85</v>
      </c>
      <c r="I147" s="80">
        <f t="shared" si="55"/>
        <v>74.42</v>
      </c>
      <c r="J147" s="81">
        <f t="shared" si="56"/>
        <v>520.94000000000005</v>
      </c>
    </row>
    <row r="148" spans="1:10" ht="76.5" x14ac:dyDescent="0.2">
      <c r="A148" s="63"/>
      <c r="B148" s="94" t="s">
        <v>349</v>
      </c>
      <c r="C148" s="83" t="s">
        <v>94</v>
      </c>
      <c r="D148" s="91" t="s">
        <v>272</v>
      </c>
      <c r="E148" s="90" t="s">
        <v>286</v>
      </c>
      <c r="F148" s="78" t="s">
        <v>115</v>
      </c>
      <c r="G148" s="82">
        <f>'MEMORIAL DE CÁLCULO'!F148</f>
        <v>2</v>
      </c>
      <c r="H148" s="80">
        <v>135.03</v>
      </c>
      <c r="I148" s="80">
        <f t="shared" si="55"/>
        <v>176.77</v>
      </c>
      <c r="J148" s="81">
        <f t="shared" ref="J148:J149" si="60">ROUND(G148*I148,2)</f>
        <v>353.54</v>
      </c>
    </row>
    <row r="149" spans="1:10" ht="63.75" x14ac:dyDescent="0.2">
      <c r="A149" s="63"/>
      <c r="B149" s="94" t="s">
        <v>380</v>
      </c>
      <c r="C149" s="83" t="s">
        <v>94</v>
      </c>
      <c r="D149" s="91" t="s">
        <v>274</v>
      </c>
      <c r="E149" s="90" t="s">
        <v>273</v>
      </c>
      <c r="F149" s="78" t="s">
        <v>115</v>
      </c>
      <c r="G149" s="82">
        <f>'MEMORIAL DE CÁLCULO'!F149</f>
        <v>4</v>
      </c>
      <c r="H149" s="80">
        <v>179.49</v>
      </c>
      <c r="I149" s="80">
        <f t="shared" si="55"/>
        <v>234.97</v>
      </c>
      <c r="J149" s="81">
        <f t="shared" si="60"/>
        <v>939.88</v>
      </c>
    </row>
    <row r="150" spans="1:10" ht="51" x14ac:dyDescent="0.2">
      <c r="A150" s="63"/>
      <c r="B150" s="94" t="s">
        <v>381</v>
      </c>
      <c r="C150" s="83" t="s">
        <v>94</v>
      </c>
      <c r="D150" s="91" t="s">
        <v>561</v>
      </c>
      <c r="E150" s="90" t="s">
        <v>560</v>
      </c>
      <c r="F150" s="78" t="s">
        <v>115</v>
      </c>
      <c r="G150" s="82">
        <f>'MEMORIAL DE CÁLCULO'!F150</f>
        <v>4</v>
      </c>
      <c r="H150" s="80">
        <v>223.54</v>
      </c>
      <c r="I150" s="80">
        <f t="shared" si="55"/>
        <v>292.64</v>
      </c>
      <c r="J150" s="81">
        <f t="shared" ref="J150" si="61">ROUND(G150*I150,2)</f>
        <v>1170.56</v>
      </c>
    </row>
    <row r="151" spans="1:10" ht="76.5" x14ac:dyDescent="0.2">
      <c r="A151" s="63"/>
      <c r="B151" s="94" t="s">
        <v>562</v>
      </c>
      <c r="C151" s="83" t="s">
        <v>94</v>
      </c>
      <c r="D151" s="91" t="s">
        <v>383</v>
      </c>
      <c r="E151" s="90" t="s">
        <v>382</v>
      </c>
      <c r="F151" s="78" t="s">
        <v>115</v>
      </c>
      <c r="G151" s="82">
        <f>'MEMORIAL DE CÁLCULO'!F151</f>
        <v>2</v>
      </c>
      <c r="H151" s="80">
        <v>133.52000000000001</v>
      </c>
      <c r="I151" s="80">
        <f t="shared" si="55"/>
        <v>174.79</v>
      </c>
      <c r="J151" s="81">
        <f t="shared" ref="J151" si="62">ROUND(G151*I151,2)</f>
        <v>349.58</v>
      </c>
    </row>
    <row r="152" spans="1:10" ht="89.25" x14ac:dyDescent="0.2">
      <c r="A152" s="63"/>
      <c r="B152" s="94" t="s">
        <v>576</v>
      </c>
      <c r="C152" s="83" t="s">
        <v>94</v>
      </c>
      <c r="D152" s="91" t="s">
        <v>575</v>
      </c>
      <c r="E152" s="90" t="s">
        <v>574</v>
      </c>
      <c r="F152" s="78" t="s">
        <v>115</v>
      </c>
      <c r="G152" s="82">
        <f>'MEMORIAL DE CÁLCULO'!F152</f>
        <v>2</v>
      </c>
      <c r="H152" s="80">
        <v>459.55</v>
      </c>
      <c r="I152" s="80">
        <f t="shared" si="55"/>
        <v>601.6</v>
      </c>
      <c r="J152" s="81">
        <f t="shared" ref="J152" si="63">ROUND(G152*I152,2)</f>
        <v>1203.2</v>
      </c>
    </row>
    <row r="153" spans="1:10" ht="10.15" customHeight="1" x14ac:dyDescent="0.2">
      <c r="A153" s="63"/>
      <c r="B153" s="288"/>
      <c r="C153" s="289"/>
      <c r="D153" s="289"/>
      <c r="E153" s="289"/>
      <c r="F153" s="289"/>
      <c r="G153" s="289"/>
      <c r="H153" s="289"/>
      <c r="I153" s="289"/>
      <c r="J153" s="290"/>
    </row>
    <row r="154" spans="1:10" ht="13.15" customHeight="1" x14ac:dyDescent="0.2">
      <c r="A154" s="63"/>
      <c r="B154" s="106" t="s">
        <v>350</v>
      </c>
      <c r="C154" s="272"/>
      <c r="D154" s="273"/>
      <c r="E154" s="112" t="s">
        <v>359</v>
      </c>
      <c r="F154" s="108"/>
      <c r="G154" s="140"/>
      <c r="H154" s="109"/>
      <c r="I154" s="110"/>
      <c r="J154" s="98">
        <f>SUM(J155:J159)</f>
        <v>21620.55</v>
      </c>
    </row>
    <row r="155" spans="1:10" ht="25.5" x14ac:dyDescent="0.2">
      <c r="A155" s="63"/>
      <c r="B155" s="94" t="s">
        <v>351</v>
      </c>
      <c r="C155" s="83" t="s">
        <v>94</v>
      </c>
      <c r="D155" s="91" t="s">
        <v>336</v>
      </c>
      <c r="E155" s="162" t="s">
        <v>356</v>
      </c>
      <c r="F155" s="164" t="s">
        <v>95</v>
      </c>
      <c r="G155" s="82">
        <f>'MEMORIAL DE CÁLCULO'!F155</f>
        <v>4.08</v>
      </c>
      <c r="H155" s="80">
        <v>243.78</v>
      </c>
      <c r="I155" s="80">
        <f t="shared" ref="I155:I159" si="64">ROUND(H155*1.3091,2)</f>
        <v>319.13</v>
      </c>
      <c r="J155" s="166">
        <f t="shared" ref="J155:J156" si="65">ROUND(G155*I155,2)</f>
        <v>1302.05</v>
      </c>
    </row>
    <row r="156" spans="1:10" ht="63.75" x14ac:dyDescent="0.2">
      <c r="A156" s="63"/>
      <c r="B156" s="94" t="s">
        <v>352</v>
      </c>
      <c r="C156" s="83" t="s">
        <v>94</v>
      </c>
      <c r="D156" s="173" t="s">
        <v>375</v>
      </c>
      <c r="E156" s="162" t="s">
        <v>374</v>
      </c>
      <c r="F156" s="164" t="s">
        <v>95</v>
      </c>
      <c r="G156" s="82">
        <f>'MEMORIAL DE CÁLCULO'!F156</f>
        <v>4.3499999999999996</v>
      </c>
      <c r="H156" s="80">
        <v>358.04</v>
      </c>
      <c r="I156" s="80">
        <f t="shared" si="64"/>
        <v>468.71</v>
      </c>
      <c r="J156" s="166">
        <f t="shared" si="65"/>
        <v>2038.89</v>
      </c>
    </row>
    <row r="157" spans="1:10" ht="25.5" x14ac:dyDescent="0.2">
      <c r="A157" s="63"/>
      <c r="B157" s="94" t="s">
        <v>353</v>
      </c>
      <c r="C157" s="83" t="s">
        <v>94</v>
      </c>
      <c r="D157" s="173" t="s">
        <v>365</v>
      </c>
      <c r="E157" s="162" t="s">
        <v>364</v>
      </c>
      <c r="F157" s="164" t="s">
        <v>95</v>
      </c>
      <c r="G157" s="82">
        <f>'MEMORIAL DE CÁLCULO'!F157</f>
        <v>17.48</v>
      </c>
      <c r="H157" s="80">
        <v>629.32000000000005</v>
      </c>
      <c r="I157" s="80">
        <f t="shared" si="64"/>
        <v>823.84</v>
      </c>
      <c r="J157" s="166">
        <f t="shared" ref="J157" si="66">ROUND(G157*I157,2)</f>
        <v>14400.72</v>
      </c>
    </row>
    <row r="158" spans="1:10" x14ac:dyDescent="0.2">
      <c r="A158" s="63"/>
      <c r="B158" s="94" t="s">
        <v>354</v>
      </c>
      <c r="C158" s="83" t="s">
        <v>94</v>
      </c>
      <c r="D158" s="173" t="s">
        <v>360</v>
      </c>
      <c r="E158" s="162" t="s">
        <v>362</v>
      </c>
      <c r="F158" s="164" t="s">
        <v>95</v>
      </c>
      <c r="G158" s="82">
        <f>'MEMORIAL DE CÁLCULO'!F158</f>
        <v>0.96</v>
      </c>
      <c r="H158" s="80">
        <v>285.22000000000003</v>
      </c>
      <c r="I158" s="80">
        <f t="shared" si="64"/>
        <v>373.38</v>
      </c>
      <c r="J158" s="166">
        <f t="shared" ref="J158:J159" si="67">ROUND(G158*I158,2)</f>
        <v>358.44</v>
      </c>
    </row>
    <row r="159" spans="1:10" x14ac:dyDescent="0.2">
      <c r="A159" s="63"/>
      <c r="B159" s="94" t="s">
        <v>355</v>
      </c>
      <c r="C159" s="83" t="s">
        <v>94</v>
      </c>
      <c r="D159" s="173" t="s">
        <v>361</v>
      </c>
      <c r="E159" s="162" t="s">
        <v>363</v>
      </c>
      <c r="F159" s="164" t="s">
        <v>95</v>
      </c>
      <c r="G159" s="82">
        <f>'MEMORIAL DE CÁLCULO'!F159</f>
        <v>9.5399999999999991</v>
      </c>
      <c r="H159" s="80">
        <v>281.89</v>
      </c>
      <c r="I159" s="80">
        <f t="shared" si="64"/>
        <v>369.02</v>
      </c>
      <c r="J159" s="166">
        <f t="shared" si="67"/>
        <v>3520.45</v>
      </c>
    </row>
    <row r="160" spans="1:10" ht="9.6" customHeight="1" x14ac:dyDescent="0.2">
      <c r="A160" s="63"/>
      <c r="B160" s="288"/>
      <c r="C160" s="289"/>
      <c r="D160" s="289"/>
      <c r="E160" s="289"/>
      <c r="F160" s="289"/>
      <c r="G160" s="289"/>
      <c r="H160" s="289"/>
      <c r="I160" s="289"/>
      <c r="J160" s="290"/>
    </row>
    <row r="161" spans="1:13" ht="15" x14ac:dyDescent="0.2">
      <c r="A161" s="63"/>
      <c r="B161" s="106" t="s">
        <v>357</v>
      </c>
      <c r="C161" s="272"/>
      <c r="D161" s="273"/>
      <c r="E161" s="112" t="s">
        <v>125</v>
      </c>
      <c r="F161" s="108"/>
      <c r="G161" s="140"/>
      <c r="H161" s="109"/>
      <c r="I161" s="110"/>
      <c r="J161" s="98">
        <f>SUM(J162:J170)</f>
        <v>37896</v>
      </c>
    </row>
    <row r="162" spans="1:13" x14ac:dyDescent="0.2">
      <c r="A162" s="63"/>
      <c r="B162" s="94" t="s">
        <v>358</v>
      </c>
      <c r="C162" s="270" t="s">
        <v>191</v>
      </c>
      <c r="D162" s="271"/>
      <c r="E162" s="268" t="s">
        <v>401</v>
      </c>
      <c r="F162" s="78" t="s">
        <v>115</v>
      </c>
      <c r="G162" s="82">
        <f>'MEMORIAL DE CÁLCULO'!F162</f>
        <v>1</v>
      </c>
      <c r="H162" s="193">
        <v>3000</v>
      </c>
      <c r="I162" s="80">
        <f t="shared" ref="I162:I170" si="68">ROUND(H162*1.3091,2)</f>
        <v>3927.3</v>
      </c>
      <c r="J162" s="166">
        <f t="shared" ref="J162:J166" si="69">ROUND(G162*I162,2)</f>
        <v>3927.3</v>
      </c>
    </row>
    <row r="163" spans="1:13" x14ac:dyDescent="0.2">
      <c r="A163" s="63"/>
      <c r="B163" s="94" t="s">
        <v>366</v>
      </c>
      <c r="C163" s="270" t="s">
        <v>191</v>
      </c>
      <c r="D163" s="271"/>
      <c r="E163" s="161" t="s">
        <v>402</v>
      </c>
      <c r="F163" s="78" t="s">
        <v>99</v>
      </c>
      <c r="G163" s="82">
        <f>'MEMORIAL DE CÁLCULO'!F163</f>
        <v>5</v>
      </c>
      <c r="H163" s="194">
        <v>345</v>
      </c>
      <c r="I163" s="80">
        <f t="shared" si="68"/>
        <v>451.64</v>
      </c>
      <c r="J163" s="166">
        <f t="shared" si="69"/>
        <v>2258.1999999999998</v>
      </c>
    </row>
    <row r="164" spans="1:13" x14ac:dyDescent="0.2">
      <c r="A164" s="63"/>
      <c r="B164" s="94" t="s">
        <v>367</v>
      </c>
      <c r="C164" s="270" t="s">
        <v>191</v>
      </c>
      <c r="D164" s="271"/>
      <c r="E164" s="161" t="s">
        <v>403</v>
      </c>
      <c r="F164" s="78" t="s">
        <v>115</v>
      </c>
      <c r="G164" s="82">
        <f>'MEMORIAL DE CÁLCULO'!F164</f>
        <v>1</v>
      </c>
      <c r="H164" s="194">
        <v>820</v>
      </c>
      <c r="I164" s="80">
        <f t="shared" si="68"/>
        <v>1073.46</v>
      </c>
      <c r="J164" s="166">
        <f t="shared" si="69"/>
        <v>1073.46</v>
      </c>
    </row>
    <row r="165" spans="1:13" x14ac:dyDescent="0.2">
      <c r="A165" s="63"/>
      <c r="B165" s="94" t="s">
        <v>368</v>
      </c>
      <c r="C165" s="270" t="s">
        <v>191</v>
      </c>
      <c r="D165" s="271"/>
      <c r="E165" s="269" t="s">
        <v>406</v>
      </c>
      <c r="F165" s="78" t="s">
        <v>115</v>
      </c>
      <c r="G165" s="82">
        <f>'MEMORIAL DE CÁLCULO'!F165</f>
        <v>1</v>
      </c>
      <c r="H165" s="195">
        <v>260</v>
      </c>
      <c r="I165" s="80">
        <f t="shared" si="68"/>
        <v>340.37</v>
      </c>
      <c r="J165" s="166">
        <f t="shared" si="69"/>
        <v>340.37</v>
      </c>
    </row>
    <row r="166" spans="1:13" ht="25.5" x14ac:dyDescent="0.2">
      <c r="A166" s="63"/>
      <c r="B166" s="94" t="s">
        <v>369</v>
      </c>
      <c r="C166" s="270" t="s">
        <v>191</v>
      </c>
      <c r="D166" s="271"/>
      <c r="E166" s="269" t="s">
        <v>407</v>
      </c>
      <c r="F166" s="78" t="s">
        <v>115</v>
      </c>
      <c r="G166" s="82">
        <f>'MEMORIAL DE CÁLCULO'!F166</f>
        <v>1</v>
      </c>
      <c r="H166" s="195">
        <v>3750</v>
      </c>
      <c r="I166" s="80">
        <f t="shared" si="68"/>
        <v>4909.13</v>
      </c>
      <c r="J166" s="166">
        <f t="shared" si="69"/>
        <v>4909.13</v>
      </c>
    </row>
    <row r="167" spans="1:13" ht="51" x14ac:dyDescent="0.2">
      <c r="A167" s="63"/>
      <c r="B167" s="94" t="s">
        <v>369</v>
      </c>
      <c r="C167" s="83" t="s">
        <v>94</v>
      </c>
      <c r="D167" s="167" t="s">
        <v>373</v>
      </c>
      <c r="E167" s="162" t="s">
        <v>372</v>
      </c>
      <c r="F167" s="78" t="s">
        <v>115</v>
      </c>
      <c r="G167" s="82">
        <f>'MEMORIAL DE CÁLCULO'!F167</f>
        <v>2</v>
      </c>
      <c r="H167" s="80">
        <v>859.11</v>
      </c>
      <c r="I167" s="80">
        <f t="shared" si="68"/>
        <v>1124.6600000000001</v>
      </c>
      <c r="J167" s="166">
        <f t="shared" ref="J167" si="70">ROUND(G167*I167,2)</f>
        <v>2249.3200000000002</v>
      </c>
    </row>
    <row r="168" spans="1:13" ht="76.5" x14ac:dyDescent="0.2">
      <c r="A168" s="63"/>
      <c r="B168" s="94" t="s">
        <v>393</v>
      </c>
      <c r="C168" s="83" t="s">
        <v>94</v>
      </c>
      <c r="D168" s="91" t="s">
        <v>263</v>
      </c>
      <c r="E168" s="162" t="s">
        <v>262</v>
      </c>
      <c r="F168" s="78" t="s">
        <v>115</v>
      </c>
      <c r="G168" s="82">
        <f>'MEMORIAL DE CÁLCULO'!F168</f>
        <v>1</v>
      </c>
      <c r="H168" s="80">
        <v>307.7</v>
      </c>
      <c r="I168" s="80">
        <f t="shared" si="68"/>
        <v>402.81</v>
      </c>
      <c r="J168" s="81">
        <f t="shared" ref="J168" si="71">ROUND(G168*I168,2)</f>
        <v>402.81</v>
      </c>
    </row>
    <row r="169" spans="1:13" ht="63.75" x14ac:dyDescent="0.2">
      <c r="A169" s="63"/>
      <c r="B169" s="94" t="s">
        <v>404</v>
      </c>
      <c r="C169" s="83" t="s">
        <v>94</v>
      </c>
      <c r="D169" s="91" t="s">
        <v>392</v>
      </c>
      <c r="E169" s="90" t="s">
        <v>391</v>
      </c>
      <c r="F169" s="78" t="s">
        <v>95</v>
      </c>
      <c r="G169" s="82">
        <f>'MEMORIAL DE CÁLCULO'!F169</f>
        <v>61.56</v>
      </c>
      <c r="H169" s="80">
        <v>269.77999999999997</v>
      </c>
      <c r="I169" s="80">
        <f t="shared" si="68"/>
        <v>353.17</v>
      </c>
      <c r="J169" s="81">
        <f t="shared" ref="J169" si="72">ROUND(G169*I169,2)</f>
        <v>21741.15</v>
      </c>
    </row>
    <row r="170" spans="1:13" ht="25.5" x14ac:dyDescent="0.2">
      <c r="A170" s="63"/>
      <c r="B170" s="94" t="s">
        <v>405</v>
      </c>
      <c r="C170" s="83" t="s">
        <v>94</v>
      </c>
      <c r="D170" s="91" t="s">
        <v>151</v>
      </c>
      <c r="E170" s="90" t="s">
        <v>150</v>
      </c>
      <c r="F170" s="78" t="s">
        <v>115</v>
      </c>
      <c r="G170" s="82">
        <f>'MEMORIAL DE CÁLCULO'!F170</f>
        <v>6</v>
      </c>
      <c r="H170" s="80">
        <v>126.58</v>
      </c>
      <c r="I170" s="80">
        <f t="shared" si="68"/>
        <v>165.71</v>
      </c>
      <c r="J170" s="81">
        <f t="shared" ref="J170" si="73">ROUND(G170*I170,2)</f>
        <v>994.26</v>
      </c>
    </row>
    <row r="171" spans="1:13" ht="5.45" customHeight="1" x14ac:dyDescent="0.2">
      <c r="A171" s="63"/>
      <c r="B171" s="288"/>
      <c r="C171" s="289"/>
      <c r="D171" s="289"/>
      <c r="E171" s="289"/>
      <c r="F171" s="289"/>
      <c r="G171" s="289"/>
      <c r="H171" s="289"/>
      <c r="I171" s="289"/>
      <c r="J171" s="290"/>
    </row>
    <row r="172" spans="1:13" ht="24.95" customHeight="1" thickBot="1" x14ac:dyDescent="0.25">
      <c r="A172" s="63"/>
      <c r="B172" s="278" t="s">
        <v>73</v>
      </c>
      <c r="C172" s="279"/>
      <c r="D172" s="279"/>
      <c r="E172" s="279"/>
      <c r="F172" s="279"/>
      <c r="G172" s="279"/>
      <c r="H172" s="280"/>
      <c r="I172" s="281">
        <f>SUM(J20+J25+J30+J40+J64+J71+J85+J104+J114+J120+J127+J132+J135+J139+J154+J161)</f>
        <v>618207.42000000004</v>
      </c>
      <c r="J172" s="282"/>
      <c r="K172" s="131"/>
    </row>
    <row r="173" spans="1:13" ht="9.6" customHeight="1" x14ac:dyDescent="0.2">
      <c r="A173" s="63"/>
      <c r="B173" s="29"/>
      <c r="C173" s="30"/>
      <c r="D173" s="30"/>
      <c r="E173" s="30"/>
      <c r="F173" s="30"/>
      <c r="G173" s="142"/>
      <c r="H173" s="30"/>
      <c r="I173" s="30"/>
      <c r="J173" s="31"/>
      <c r="K173" s="5"/>
      <c r="L173" s="5"/>
    </row>
    <row r="174" spans="1:13" ht="18" customHeight="1" x14ac:dyDescent="0.25">
      <c r="A174" s="63"/>
      <c r="B174" s="14"/>
      <c r="C174" s="13"/>
      <c r="D174" s="13"/>
      <c r="E174" s="287" t="s">
        <v>417</v>
      </c>
      <c r="F174" s="287"/>
      <c r="G174" s="143"/>
      <c r="H174" s="13"/>
      <c r="I174" s="13"/>
      <c r="J174" s="18"/>
      <c r="K174" s="123"/>
      <c r="L174" s="5"/>
    </row>
    <row r="175" spans="1:13" ht="22.15" customHeight="1" x14ac:dyDescent="0.2">
      <c r="A175" s="63"/>
      <c r="B175" s="14"/>
      <c r="C175" s="13"/>
      <c r="D175" s="13"/>
      <c r="E175" s="13"/>
      <c r="F175" s="13"/>
      <c r="G175" s="143"/>
      <c r="H175" s="13"/>
      <c r="I175" s="13"/>
      <c r="J175" s="18"/>
      <c r="K175" s="132"/>
      <c r="L175" s="5"/>
      <c r="M175" s="131"/>
    </row>
    <row r="176" spans="1:13" ht="49.15" customHeight="1" x14ac:dyDescent="0.2">
      <c r="A176" s="63"/>
      <c r="B176" s="14"/>
      <c r="C176" s="13"/>
      <c r="D176" s="13"/>
      <c r="E176" s="13"/>
      <c r="F176" s="13"/>
      <c r="G176" s="143"/>
      <c r="H176" s="13"/>
      <c r="I176" s="13"/>
      <c r="J176" s="18"/>
      <c r="K176" s="5"/>
      <c r="L176" s="5"/>
    </row>
    <row r="177" spans="1:13" x14ac:dyDescent="0.2">
      <c r="A177" s="63"/>
      <c r="B177" s="14"/>
      <c r="C177" s="13"/>
      <c r="D177" s="12"/>
      <c r="E177" s="283"/>
      <c r="F177" s="283"/>
      <c r="G177" s="143"/>
      <c r="H177" s="12"/>
      <c r="I177" s="12"/>
      <c r="J177" s="32"/>
      <c r="K177" s="5"/>
      <c r="L177" s="5"/>
    </row>
    <row r="178" spans="1:13" x14ac:dyDescent="0.2">
      <c r="A178" s="63"/>
      <c r="B178" s="11"/>
      <c r="C178" s="61"/>
      <c r="D178" s="294"/>
      <c r="E178" s="294"/>
      <c r="F178" s="10"/>
      <c r="G178" s="294"/>
      <c r="H178" s="294"/>
      <c r="I178" s="28"/>
      <c r="J178" s="18"/>
      <c r="K178" s="5"/>
      <c r="L178" s="5"/>
      <c r="M178" s="66"/>
    </row>
    <row r="179" spans="1:13" x14ac:dyDescent="0.2">
      <c r="A179" s="63"/>
      <c r="B179" s="11"/>
      <c r="C179" s="61"/>
      <c r="D179" s="198"/>
      <c r="E179" s="284" t="s">
        <v>71</v>
      </c>
      <c r="F179" s="284"/>
      <c r="G179" s="198"/>
      <c r="H179" s="198"/>
      <c r="I179" s="28"/>
      <c r="J179" s="18"/>
      <c r="K179" s="5"/>
      <c r="L179" s="5"/>
    </row>
    <row r="180" spans="1:13" x14ac:dyDescent="0.2">
      <c r="A180" s="63"/>
      <c r="B180" s="11"/>
      <c r="C180" s="61"/>
      <c r="D180" s="198"/>
      <c r="E180" s="285" t="s">
        <v>72</v>
      </c>
      <c r="F180" s="285"/>
      <c r="G180" s="198"/>
      <c r="H180" s="198"/>
      <c r="I180" s="28"/>
      <c r="J180" s="18"/>
      <c r="K180" s="5"/>
      <c r="L180" s="5"/>
    </row>
    <row r="181" spans="1:13" x14ac:dyDescent="0.2">
      <c r="A181" s="63"/>
      <c r="B181" s="11"/>
      <c r="C181" s="61"/>
      <c r="D181" s="198"/>
      <c r="E181" s="286" t="s">
        <v>123</v>
      </c>
      <c r="F181" s="286"/>
      <c r="G181" s="198"/>
      <c r="H181" s="198"/>
      <c r="I181" s="28"/>
      <c r="J181" s="18"/>
      <c r="K181" s="5"/>
      <c r="L181" s="5"/>
    </row>
    <row r="182" spans="1:13" x14ac:dyDescent="0.2">
      <c r="A182" s="63"/>
      <c r="B182" s="11"/>
      <c r="C182" s="61"/>
      <c r="D182" s="198"/>
      <c r="E182" s="198"/>
      <c r="F182" s="10"/>
      <c r="G182" s="198"/>
      <c r="H182" s="198"/>
      <c r="I182" s="28"/>
      <c r="J182" s="18"/>
      <c r="K182" s="5"/>
      <c r="L182" s="5"/>
    </row>
    <row r="183" spans="1:13" ht="13.5" thickBot="1" x14ac:dyDescent="0.25">
      <c r="A183" s="63"/>
      <c r="B183" s="133"/>
      <c r="C183" s="134"/>
      <c r="D183" s="295"/>
      <c r="E183" s="295"/>
      <c r="F183" s="135"/>
      <c r="G183" s="144"/>
      <c r="H183" s="136"/>
      <c r="I183" s="6"/>
      <c r="J183" s="19"/>
      <c r="K183" s="5"/>
      <c r="L183" s="5"/>
    </row>
    <row r="184" spans="1:13" ht="13.5" thickBot="1" x14ac:dyDescent="0.25">
      <c r="A184" s="64"/>
      <c r="B184" s="8"/>
      <c r="C184" s="67"/>
      <c r="D184" s="274"/>
      <c r="E184" s="274"/>
      <c r="F184" s="7"/>
      <c r="G184" s="145"/>
      <c r="H184" s="6"/>
      <c r="I184" s="6"/>
      <c r="J184" s="19"/>
      <c r="K184" s="5"/>
      <c r="L184" s="5"/>
    </row>
  </sheetData>
  <mergeCells count="87">
    <mergeCell ref="C139:D139"/>
    <mergeCell ref="C161:D161"/>
    <mergeCell ref="C95:D95"/>
    <mergeCell ref="C154:D154"/>
    <mergeCell ref="B160:J160"/>
    <mergeCell ref="B103:J103"/>
    <mergeCell ref="B131:J131"/>
    <mergeCell ref="B153:J153"/>
    <mergeCell ref="B138:J138"/>
    <mergeCell ref="C104:D104"/>
    <mergeCell ref="C60:D60"/>
    <mergeCell ref="C20:D20"/>
    <mergeCell ref="C25:D25"/>
    <mergeCell ref="C30:D30"/>
    <mergeCell ref="C31:D31"/>
    <mergeCell ref="C35:D35"/>
    <mergeCell ref="B39:J39"/>
    <mergeCell ref="B24:J24"/>
    <mergeCell ref="C40:D40"/>
    <mergeCell ref="C46:D46"/>
    <mergeCell ref="C48:D48"/>
    <mergeCell ref="C55:D55"/>
    <mergeCell ref="B15:F16"/>
    <mergeCell ref="H14:H16"/>
    <mergeCell ref="G14:G16"/>
    <mergeCell ref="C89:D89"/>
    <mergeCell ref="C88:D88"/>
    <mergeCell ref="C87:D87"/>
    <mergeCell ref="C86:D86"/>
    <mergeCell ref="C42:D42"/>
    <mergeCell ref="C43:D43"/>
    <mergeCell ref="C45:D45"/>
    <mergeCell ref="C82:D82"/>
    <mergeCell ref="C83:D83"/>
    <mergeCell ref="C41:D41"/>
    <mergeCell ref="C44:D44"/>
    <mergeCell ref="C64:D64"/>
    <mergeCell ref="C71:D71"/>
    <mergeCell ref="B12:G12"/>
    <mergeCell ref="H12:J12"/>
    <mergeCell ref="B13:F13"/>
    <mergeCell ref="G13:J13"/>
    <mergeCell ref="B14:F14"/>
    <mergeCell ref="B1:J6"/>
    <mergeCell ref="B7:J8"/>
    <mergeCell ref="B9:J9"/>
    <mergeCell ref="B11:G11"/>
    <mergeCell ref="H11:J11"/>
    <mergeCell ref="B10:J10"/>
    <mergeCell ref="D183:E183"/>
    <mergeCell ref="B134:J134"/>
    <mergeCell ref="C142:D142"/>
    <mergeCell ref="G178:H178"/>
    <mergeCell ref="B113:J113"/>
    <mergeCell ref="B171:J171"/>
    <mergeCell ref="B119:J119"/>
    <mergeCell ref="B126:J126"/>
    <mergeCell ref="C114:D114"/>
    <mergeCell ref="C120:D120"/>
    <mergeCell ref="C127:D127"/>
    <mergeCell ref="C162:D162"/>
    <mergeCell ref="C163:D163"/>
    <mergeCell ref="C164:D164"/>
    <mergeCell ref="C165:D165"/>
    <mergeCell ref="C166:D166"/>
    <mergeCell ref="D184:E184"/>
    <mergeCell ref="B17:J17"/>
    <mergeCell ref="B172:H172"/>
    <mergeCell ref="I172:J172"/>
    <mergeCell ref="E177:F177"/>
    <mergeCell ref="E179:F179"/>
    <mergeCell ref="E180:F180"/>
    <mergeCell ref="E181:F181"/>
    <mergeCell ref="E174:F174"/>
    <mergeCell ref="B19:J19"/>
    <mergeCell ref="B29:J29"/>
    <mergeCell ref="B63:J63"/>
    <mergeCell ref="B70:J70"/>
    <mergeCell ref="D178:E178"/>
    <mergeCell ref="B84:J84"/>
    <mergeCell ref="C92:D92"/>
    <mergeCell ref="C94:D94"/>
    <mergeCell ref="C66:D66"/>
    <mergeCell ref="C90:D90"/>
    <mergeCell ref="C91:D91"/>
    <mergeCell ref="C85:D85"/>
    <mergeCell ref="C93:D93"/>
  </mergeCells>
  <phoneticPr fontId="59" type="noConversion"/>
  <printOptions horizontalCentered="1"/>
  <pageMargins left="0" right="0" top="0.59055118110236227" bottom="0" header="0" footer="0"/>
  <pageSetup paperSize="9" scale="58" fitToHeight="0" orientation="portrait" horizontalDpi="300" verticalDpi="300" r:id="rId1"/>
  <headerFooter alignWithMargins="0"/>
  <rowBreaks count="3" manualBreakCount="3">
    <brk id="59" min="1" max="9" man="1"/>
    <brk id="105" min="1" max="9" man="1"/>
    <brk id="133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2"/>
  <sheetViews>
    <sheetView topLeftCell="A171" zoomScale="80" zoomScaleNormal="80" workbookViewId="0">
      <selection activeCell="F175" sqref="F175"/>
    </sheetView>
  </sheetViews>
  <sheetFormatPr defaultRowHeight="12.75" x14ac:dyDescent="0.2"/>
  <cols>
    <col min="1" max="1" width="5.28515625" customWidth="1"/>
    <col min="2" max="2" width="8.7109375" bestFit="1" customWidth="1"/>
    <col min="3" max="3" width="9.28515625" bestFit="1" customWidth="1"/>
    <col min="4" max="4" width="62.42578125" bestFit="1" customWidth="1"/>
    <col min="5" max="5" width="9.28515625" bestFit="1" customWidth="1"/>
    <col min="6" max="6" width="13.140625" bestFit="1" customWidth="1"/>
    <col min="7" max="7" width="17.28515625" customWidth="1"/>
    <col min="8" max="8" width="35.28515625" customWidth="1"/>
    <col min="9" max="9" width="34.28515625" customWidth="1"/>
  </cols>
  <sheetData>
    <row r="1" spans="1:9" x14ac:dyDescent="0.2">
      <c r="A1" s="296" t="s">
        <v>121</v>
      </c>
      <c r="B1" s="297"/>
      <c r="C1" s="298"/>
      <c r="D1" s="298"/>
      <c r="E1" s="298"/>
      <c r="F1" s="298"/>
      <c r="G1" s="298"/>
      <c r="H1" s="298"/>
      <c r="I1" s="299"/>
    </row>
    <row r="2" spans="1:9" x14ac:dyDescent="0.2">
      <c r="A2" s="300"/>
      <c r="B2" s="301"/>
      <c r="C2" s="301"/>
      <c r="D2" s="301"/>
      <c r="E2" s="301"/>
      <c r="F2" s="301"/>
      <c r="G2" s="301"/>
      <c r="H2" s="301"/>
      <c r="I2" s="302"/>
    </row>
    <row r="3" spans="1:9" x14ac:dyDescent="0.2">
      <c r="A3" s="300"/>
      <c r="B3" s="301"/>
      <c r="C3" s="301"/>
      <c r="D3" s="301"/>
      <c r="E3" s="301"/>
      <c r="F3" s="301"/>
      <c r="G3" s="301"/>
      <c r="H3" s="301"/>
      <c r="I3" s="302"/>
    </row>
    <row r="4" spans="1:9" x14ac:dyDescent="0.2">
      <c r="A4" s="300"/>
      <c r="B4" s="301"/>
      <c r="C4" s="301"/>
      <c r="D4" s="301"/>
      <c r="E4" s="301"/>
      <c r="F4" s="301"/>
      <c r="G4" s="301"/>
      <c r="H4" s="301"/>
      <c r="I4" s="302"/>
    </row>
    <row r="5" spans="1:9" x14ac:dyDescent="0.2">
      <c r="A5" s="300"/>
      <c r="B5" s="301"/>
      <c r="C5" s="301"/>
      <c r="D5" s="301"/>
      <c r="E5" s="301"/>
      <c r="F5" s="301"/>
      <c r="G5" s="301"/>
      <c r="H5" s="301"/>
      <c r="I5" s="302"/>
    </row>
    <row r="6" spans="1:9" ht="59.45" customHeight="1" thickBot="1" x14ac:dyDescent="0.25">
      <c r="A6" s="303"/>
      <c r="B6" s="304"/>
      <c r="C6" s="304"/>
      <c r="D6" s="304"/>
      <c r="E6" s="304"/>
      <c r="F6" s="304"/>
      <c r="G6" s="304"/>
      <c r="H6" s="304"/>
      <c r="I6" s="305"/>
    </row>
    <row r="7" spans="1:9" x14ac:dyDescent="0.2">
      <c r="A7" s="306"/>
      <c r="B7" s="307"/>
      <c r="C7" s="307"/>
      <c r="D7" s="307"/>
      <c r="E7" s="307"/>
      <c r="F7" s="307"/>
      <c r="G7" s="307"/>
      <c r="H7" s="307"/>
      <c r="I7" s="308"/>
    </row>
    <row r="8" spans="1:9" ht="13.5" thickBot="1" x14ac:dyDescent="0.25">
      <c r="A8" s="309"/>
      <c r="B8" s="310"/>
      <c r="C8" s="310"/>
      <c r="D8" s="310"/>
      <c r="E8" s="310"/>
      <c r="F8" s="310"/>
      <c r="G8" s="310"/>
      <c r="H8" s="310"/>
      <c r="I8" s="311"/>
    </row>
    <row r="9" spans="1:9" ht="16.5" thickBot="1" x14ac:dyDescent="0.25">
      <c r="A9" s="312" t="s">
        <v>22</v>
      </c>
      <c r="B9" s="313"/>
      <c r="C9" s="313"/>
      <c r="D9" s="313"/>
      <c r="E9" s="313"/>
      <c r="F9" s="313"/>
      <c r="G9" s="313"/>
      <c r="H9" s="313"/>
      <c r="I9" s="314"/>
    </row>
    <row r="10" spans="1:9" ht="13.5" thickBot="1" x14ac:dyDescent="0.25">
      <c r="A10" s="321"/>
      <c r="B10" s="322"/>
      <c r="C10" s="322"/>
      <c r="D10" s="322"/>
      <c r="E10" s="322"/>
      <c r="F10" s="322"/>
      <c r="G10" s="322"/>
      <c r="H10" s="322"/>
      <c r="I10" s="323"/>
    </row>
    <row r="11" spans="1:9" x14ac:dyDescent="0.2">
      <c r="A11" s="315" t="s">
        <v>122</v>
      </c>
      <c r="B11" s="316"/>
      <c r="C11" s="316"/>
      <c r="D11" s="316"/>
      <c r="E11" s="316"/>
      <c r="F11" s="317"/>
      <c r="G11" s="354"/>
      <c r="H11" s="355"/>
      <c r="I11" s="356"/>
    </row>
    <row r="12" spans="1:9" x14ac:dyDescent="0.2">
      <c r="A12" s="324" t="s">
        <v>411</v>
      </c>
      <c r="B12" s="325"/>
      <c r="C12" s="325"/>
      <c r="D12" s="325"/>
      <c r="E12" s="325"/>
      <c r="F12" s="325"/>
      <c r="G12" s="247" t="s">
        <v>447</v>
      </c>
      <c r="H12" s="248"/>
      <c r="I12" s="249"/>
    </row>
    <row r="13" spans="1:9" ht="13.15" customHeight="1" x14ac:dyDescent="0.2">
      <c r="A13" s="330" t="s">
        <v>410</v>
      </c>
      <c r="B13" s="331"/>
      <c r="C13" s="331"/>
      <c r="D13" s="331"/>
      <c r="E13" s="331"/>
      <c r="F13" s="331"/>
      <c r="G13" s="363"/>
      <c r="H13" s="363"/>
      <c r="I13" s="364"/>
    </row>
    <row r="14" spans="1:9" x14ac:dyDescent="0.2">
      <c r="A14" s="365" t="s">
        <v>412</v>
      </c>
      <c r="B14" s="366"/>
      <c r="C14" s="366"/>
      <c r="D14" s="366"/>
      <c r="E14" s="366"/>
      <c r="F14" s="366"/>
      <c r="G14" s="366"/>
      <c r="H14" s="366"/>
      <c r="I14" s="367"/>
    </row>
    <row r="15" spans="1:9" ht="13.15" customHeight="1" x14ac:dyDescent="0.2">
      <c r="A15" s="338" t="s">
        <v>413</v>
      </c>
      <c r="B15" s="339"/>
      <c r="C15" s="339"/>
      <c r="D15" s="339"/>
      <c r="E15" s="339"/>
      <c r="F15" s="339"/>
      <c r="G15" s="339"/>
      <c r="H15" s="339"/>
      <c r="I15" s="371"/>
    </row>
    <row r="16" spans="1:9" ht="13.5" thickBot="1" x14ac:dyDescent="0.25">
      <c r="A16" s="341"/>
      <c r="B16" s="342"/>
      <c r="C16" s="342"/>
      <c r="D16" s="342"/>
      <c r="E16" s="342"/>
      <c r="F16" s="342"/>
      <c r="G16" s="342"/>
      <c r="H16" s="342"/>
      <c r="I16" s="372"/>
    </row>
    <row r="17" spans="1:11" ht="13.5" thickBot="1" x14ac:dyDescent="0.25">
      <c r="A17" s="275"/>
      <c r="B17" s="276"/>
      <c r="C17" s="276"/>
      <c r="D17" s="276"/>
      <c r="E17" s="276"/>
      <c r="F17" s="276"/>
      <c r="G17" s="276"/>
      <c r="H17" s="276"/>
      <c r="I17" s="277"/>
    </row>
    <row r="18" spans="1:11" ht="39.6" customHeight="1" x14ac:dyDescent="0.2">
      <c r="A18" s="68" t="s">
        <v>10</v>
      </c>
      <c r="B18" s="69" t="s">
        <v>120</v>
      </c>
      <c r="C18" s="70" t="s">
        <v>9</v>
      </c>
      <c r="D18" s="70" t="s">
        <v>8</v>
      </c>
      <c r="E18" s="70" t="s">
        <v>7</v>
      </c>
      <c r="F18" s="70" t="s">
        <v>6</v>
      </c>
      <c r="G18" s="373" t="s">
        <v>446</v>
      </c>
      <c r="H18" s="374"/>
      <c r="I18" s="375"/>
    </row>
    <row r="19" spans="1:11" x14ac:dyDescent="0.2">
      <c r="A19" s="288"/>
      <c r="B19" s="289"/>
      <c r="C19" s="289"/>
      <c r="D19" s="289"/>
      <c r="E19" s="289"/>
      <c r="F19" s="289"/>
      <c r="G19" s="289"/>
      <c r="H19" s="289"/>
      <c r="I19" s="290"/>
    </row>
    <row r="20" spans="1:11" ht="15" x14ac:dyDescent="0.2">
      <c r="A20" s="124" t="s">
        <v>74</v>
      </c>
      <c r="B20" s="272"/>
      <c r="C20" s="273"/>
      <c r="D20" s="96" t="s">
        <v>68</v>
      </c>
      <c r="E20" s="97"/>
      <c r="F20" s="137"/>
      <c r="G20" s="119"/>
      <c r="H20" s="120"/>
      <c r="I20" s="98"/>
    </row>
    <row r="21" spans="1:11" ht="76.5" x14ac:dyDescent="0.2">
      <c r="A21" s="1" t="s">
        <v>4</v>
      </c>
      <c r="B21" s="83" t="s">
        <v>94</v>
      </c>
      <c r="C21" s="73" t="s">
        <v>168</v>
      </c>
      <c r="D21" s="74" t="s">
        <v>167</v>
      </c>
      <c r="E21" s="78" t="s">
        <v>115</v>
      </c>
      <c r="F21" s="82">
        <v>1</v>
      </c>
      <c r="G21" s="360" t="s">
        <v>448</v>
      </c>
      <c r="H21" s="361"/>
      <c r="I21" s="362"/>
      <c r="K21" s="160"/>
    </row>
    <row r="22" spans="1:11" ht="51" x14ac:dyDescent="0.2">
      <c r="A22" s="1" t="s">
        <v>3</v>
      </c>
      <c r="B22" s="83" t="s">
        <v>94</v>
      </c>
      <c r="C22" s="73" t="s">
        <v>173</v>
      </c>
      <c r="D22" s="74" t="s">
        <v>172</v>
      </c>
      <c r="E22" s="78" t="s">
        <v>99</v>
      </c>
      <c r="F22" s="82">
        <f>(35.15*2)+(16.3*2)</f>
        <v>102.9</v>
      </c>
      <c r="G22" s="360" t="s">
        <v>449</v>
      </c>
      <c r="H22" s="361"/>
      <c r="I22" s="362"/>
    </row>
    <row r="23" spans="1:11" ht="38.25" x14ac:dyDescent="0.2">
      <c r="A23" s="264" t="str">
        <f>PLANILHA!B23</f>
        <v>1.3</v>
      </c>
      <c r="B23" s="74" t="str">
        <f>PLANILHA!C23</f>
        <v>SEINFRA</v>
      </c>
      <c r="C23" s="74" t="str">
        <f>PLANILHA!D23</f>
        <v>ED-50135</v>
      </c>
      <c r="D23" s="74" t="str">
        <f>PLANILHA!E23</f>
        <v>BARRACÃO DE OBRA, EM CHAPA DE COMPENSADO RESINADO,
INCLUSIVE INSTALAÇÕES SANITÁRIAS E MOBILIÁRIO - PADRÃO
DER-MG</v>
      </c>
      <c r="E23" s="78" t="s">
        <v>95</v>
      </c>
      <c r="F23" s="82">
        <f>3*3</f>
        <v>9</v>
      </c>
      <c r="G23" s="379" t="s">
        <v>573</v>
      </c>
      <c r="H23" s="379"/>
      <c r="I23" s="380"/>
    </row>
    <row r="24" spans="1:11" x14ac:dyDescent="0.2">
      <c r="A24" s="291"/>
      <c r="B24" s="292"/>
      <c r="C24" s="292"/>
      <c r="D24" s="292"/>
      <c r="E24" s="292"/>
      <c r="F24" s="292"/>
      <c r="G24" s="292"/>
      <c r="H24" s="292"/>
      <c r="I24" s="293"/>
    </row>
    <row r="25" spans="1:11" ht="15" x14ac:dyDescent="0.2">
      <c r="A25" s="250" t="s">
        <v>75</v>
      </c>
      <c r="B25" s="272"/>
      <c r="C25" s="273"/>
      <c r="D25" s="147" t="s">
        <v>174</v>
      </c>
      <c r="E25" s="97"/>
      <c r="F25" s="148"/>
      <c r="G25" s="149"/>
      <c r="H25" s="150"/>
      <c r="I25" s="151"/>
    </row>
    <row r="26" spans="1:11" ht="70.900000000000006" customHeight="1" x14ac:dyDescent="0.2">
      <c r="A26" s="125" t="s">
        <v>69</v>
      </c>
      <c r="B26" s="83" t="s">
        <v>94</v>
      </c>
      <c r="C26" s="73" t="s">
        <v>176</v>
      </c>
      <c r="D26" s="74" t="s">
        <v>175</v>
      </c>
      <c r="E26" s="78" t="s">
        <v>96</v>
      </c>
      <c r="F26" s="82">
        <f>(0.8*0.8*0.8*30)+((31.96+31.96+10.3+10.3+5.51+5.51+5.51+4.46+2.46+3.15+3.15+3.3+1.4+1.6)*0.3*0.3)</f>
        <v>26.21</v>
      </c>
      <c r="G26" s="357" t="s">
        <v>450</v>
      </c>
      <c r="H26" s="358"/>
      <c r="I26" s="359"/>
      <c r="K26" s="160"/>
    </row>
    <row r="27" spans="1:11" ht="46.9" customHeight="1" x14ac:dyDescent="0.2">
      <c r="A27" s="125" t="s">
        <v>70</v>
      </c>
      <c r="B27" s="83" t="s">
        <v>94</v>
      </c>
      <c r="C27" s="73" t="s">
        <v>178</v>
      </c>
      <c r="D27" s="74" t="s">
        <v>177</v>
      </c>
      <c r="E27" s="78" t="s">
        <v>95</v>
      </c>
      <c r="F27" s="82">
        <f>(0.8*0.8*30)+((31.96+31.96+10.3+10.3+5.51+5.51+5.51+4.46+2.46+3.15+3.15+3.3+1.4+1.6)*0.3)</f>
        <v>55.37</v>
      </c>
      <c r="G27" s="360" t="s">
        <v>451</v>
      </c>
      <c r="H27" s="361"/>
      <c r="I27" s="362"/>
    </row>
    <row r="28" spans="1:11" ht="25.5" x14ac:dyDescent="0.2">
      <c r="A28" s="125" t="s">
        <v>100</v>
      </c>
      <c r="B28" s="83" t="s">
        <v>94</v>
      </c>
      <c r="C28" s="73" t="s">
        <v>180</v>
      </c>
      <c r="D28" s="74" t="s">
        <v>179</v>
      </c>
      <c r="E28" s="78" t="s">
        <v>96</v>
      </c>
      <c r="F28" s="82">
        <f>F27*0.3</f>
        <v>16.61</v>
      </c>
      <c r="G28" s="357"/>
      <c r="H28" s="358"/>
      <c r="I28" s="359"/>
    </row>
    <row r="29" spans="1:11" x14ac:dyDescent="0.2">
      <c r="A29" s="291"/>
      <c r="B29" s="292"/>
      <c r="C29" s="292"/>
      <c r="D29" s="292"/>
      <c r="E29" s="292"/>
      <c r="F29" s="292"/>
      <c r="G29" s="292"/>
      <c r="H29" s="292"/>
      <c r="I29" s="293"/>
    </row>
    <row r="30" spans="1:11" ht="15" x14ac:dyDescent="0.2">
      <c r="A30" s="250" t="s">
        <v>76</v>
      </c>
      <c r="B30" s="272"/>
      <c r="C30" s="273"/>
      <c r="D30" s="147" t="s">
        <v>169</v>
      </c>
      <c r="E30" s="97"/>
      <c r="F30" s="148"/>
      <c r="G30" s="149"/>
      <c r="H30" s="150"/>
      <c r="I30" s="151"/>
    </row>
    <row r="31" spans="1:11" x14ac:dyDescent="0.2">
      <c r="A31" s="126" t="s">
        <v>128</v>
      </c>
      <c r="B31" s="352"/>
      <c r="C31" s="353"/>
      <c r="D31" s="101" t="s">
        <v>181</v>
      </c>
      <c r="E31" s="154"/>
      <c r="F31" s="157"/>
      <c r="G31" s="103"/>
      <c r="H31" s="103"/>
      <c r="I31" s="117"/>
    </row>
    <row r="32" spans="1:11" ht="38.25" x14ac:dyDescent="0.2">
      <c r="A32" s="125" t="s">
        <v>233</v>
      </c>
      <c r="B32" s="83" t="s">
        <v>94</v>
      </c>
      <c r="C32" s="73" t="s">
        <v>170</v>
      </c>
      <c r="D32" s="74" t="s">
        <v>171</v>
      </c>
      <c r="E32" s="78" t="s">
        <v>96</v>
      </c>
      <c r="F32" s="82">
        <f>(0.8*0.8*0.1*30)</f>
        <v>1.92</v>
      </c>
      <c r="G32" s="357" t="s">
        <v>452</v>
      </c>
      <c r="H32" s="358"/>
      <c r="I32" s="359"/>
    </row>
    <row r="33" spans="1:9" ht="25.5" x14ac:dyDescent="0.2">
      <c r="A33" s="125" t="s">
        <v>235</v>
      </c>
      <c r="B33" s="83" t="s">
        <v>97</v>
      </c>
      <c r="C33" s="73">
        <v>96545</v>
      </c>
      <c r="D33" s="153" t="s">
        <v>185</v>
      </c>
      <c r="E33" s="152" t="s">
        <v>98</v>
      </c>
      <c r="F33" s="82">
        <f>(0.94*14*0.395)*30</f>
        <v>155.94999999999999</v>
      </c>
      <c r="G33" s="357" t="s">
        <v>463</v>
      </c>
      <c r="H33" s="358"/>
      <c r="I33" s="359"/>
    </row>
    <row r="34" spans="1:9" ht="38.25" x14ac:dyDescent="0.2">
      <c r="A34" s="125" t="s">
        <v>236</v>
      </c>
      <c r="B34" s="83" t="s">
        <v>94</v>
      </c>
      <c r="C34" s="73" t="s">
        <v>244</v>
      </c>
      <c r="D34" s="153" t="s">
        <v>243</v>
      </c>
      <c r="E34" s="152" t="s">
        <v>96</v>
      </c>
      <c r="F34" s="82">
        <f>(0.8*0.8*0.8*30)</f>
        <v>15.36</v>
      </c>
      <c r="G34" s="357" t="s">
        <v>454</v>
      </c>
      <c r="H34" s="358"/>
      <c r="I34" s="359"/>
    </row>
    <row r="35" spans="1:9" x14ac:dyDescent="0.2">
      <c r="A35" s="126" t="s">
        <v>153</v>
      </c>
      <c r="B35" s="352"/>
      <c r="C35" s="353"/>
      <c r="D35" s="101" t="s">
        <v>182</v>
      </c>
      <c r="E35" s="154"/>
      <c r="F35" s="157"/>
      <c r="G35" s="103"/>
      <c r="H35" s="103"/>
      <c r="I35" s="117"/>
    </row>
    <row r="36" spans="1:9" ht="25.5" x14ac:dyDescent="0.2">
      <c r="A36" s="125" t="s">
        <v>234</v>
      </c>
      <c r="B36" s="83" t="s">
        <v>94</v>
      </c>
      <c r="C36" s="73" t="s">
        <v>184</v>
      </c>
      <c r="D36" s="153" t="s">
        <v>183</v>
      </c>
      <c r="E36" s="152" t="s">
        <v>95</v>
      </c>
      <c r="F36" s="82">
        <f>(0.3+0.3)*120.57</f>
        <v>72.34</v>
      </c>
      <c r="G36" s="360" t="s">
        <v>455</v>
      </c>
      <c r="H36" s="361"/>
      <c r="I36" s="362"/>
    </row>
    <row r="37" spans="1:9" ht="25.5" x14ac:dyDescent="0.2">
      <c r="A37" s="125" t="s">
        <v>237</v>
      </c>
      <c r="B37" s="83" t="s">
        <v>97</v>
      </c>
      <c r="C37" s="73">
        <v>96545</v>
      </c>
      <c r="D37" s="153" t="s">
        <v>185</v>
      </c>
      <c r="E37" s="152" t="s">
        <v>98</v>
      </c>
      <c r="F37" s="82">
        <f>120.57*4*0.395</f>
        <v>190.5</v>
      </c>
      <c r="G37" s="360" t="s">
        <v>453</v>
      </c>
      <c r="H37" s="361"/>
      <c r="I37" s="362"/>
    </row>
    <row r="38" spans="1:9" ht="25.5" x14ac:dyDescent="0.2">
      <c r="A38" s="125" t="s">
        <v>238</v>
      </c>
      <c r="B38" s="83" t="s">
        <v>97</v>
      </c>
      <c r="C38" s="73">
        <v>96556</v>
      </c>
      <c r="D38" s="153" t="s">
        <v>305</v>
      </c>
      <c r="E38" s="152" t="s">
        <v>96</v>
      </c>
      <c r="F38" s="82">
        <f>(120.57)*0.25*0.25</f>
        <v>7.54</v>
      </c>
      <c r="G38" s="360" t="s">
        <v>456</v>
      </c>
      <c r="H38" s="361"/>
      <c r="I38" s="362"/>
    </row>
    <row r="39" spans="1:9" x14ac:dyDescent="0.2">
      <c r="A39" s="291"/>
      <c r="B39" s="292"/>
      <c r="C39" s="292"/>
      <c r="D39" s="292"/>
      <c r="E39" s="292"/>
      <c r="F39" s="292"/>
      <c r="G39" s="292"/>
      <c r="H39" s="292"/>
      <c r="I39" s="293"/>
    </row>
    <row r="40" spans="1:9" ht="15" x14ac:dyDescent="0.2">
      <c r="A40" s="124" t="s">
        <v>77</v>
      </c>
      <c r="B40" s="272"/>
      <c r="C40" s="273"/>
      <c r="D40" s="96" t="s">
        <v>81</v>
      </c>
      <c r="E40" s="97"/>
      <c r="F40" s="138"/>
      <c r="G40" s="121"/>
      <c r="H40" s="122"/>
      <c r="I40" s="98"/>
    </row>
    <row r="41" spans="1:9" x14ac:dyDescent="0.2">
      <c r="A41" s="126" t="s">
        <v>129</v>
      </c>
      <c r="B41" s="350"/>
      <c r="C41" s="351"/>
      <c r="D41" s="101" t="s">
        <v>240</v>
      </c>
      <c r="E41" s="116"/>
      <c r="F41" s="155"/>
      <c r="G41" s="103"/>
      <c r="H41" s="103"/>
      <c r="I41" s="117"/>
    </row>
    <row r="42" spans="1:9" ht="25.5" x14ac:dyDescent="0.2">
      <c r="A42" s="125" t="s">
        <v>307</v>
      </c>
      <c r="B42" s="270" t="s">
        <v>191</v>
      </c>
      <c r="C42" s="271"/>
      <c r="D42" s="77" t="s">
        <v>227</v>
      </c>
      <c r="E42" s="78" t="s">
        <v>203</v>
      </c>
      <c r="F42" s="82">
        <v>8</v>
      </c>
      <c r="G42" s="376" t="s">
        <v>457</v>
      </c>
      <c r="H42" s="377"/>
      <c r="I42" s="378"/>
    </row>
    <row r="43" spans="1:9" ht="25.5" x14ac:dyDescent="0.2">
      <c r="A43" s="125" t="s">
        <v>308</v>
      </c>
      <c r="B43" s="270" t="s">
        <v>191</v>
      </c>
      <c r="C43" s="271"/>
      <c r="D43" s="77" t="s">
        <v>225</v>
      </c>
      <c r="E43" s="78" t="s">
        <v>203</v>
      </c>
      <c r="F43" s="82">
        <v>22</v>
      </c>
      <c r="G43" s="376" t="s">
        <v>458</v>
      </c>
      <c r="H43" s="377"/>
      <c r="I43" s="378"/>
    </row>
    <row r="44" spans="1:9" ht="34.15" customHeight="1" x14ac:dyDescent="0.2">
      <c r="A44" s="125" t="s">
        <v>309</v>
      </c>
      <c r="B44" s="270" t="s">
        <v>191</v>
      </c>
      <c r="C44" s="271"/>
      <c r="D44" s="77" t="s">
        <v>394</v>
      </c>
      <c r="E44" s="78" t="s">
        <v>115</v>
      </c>
      <c r="F44" s="82">
        <f>(15*2)+6</f>
        <v>36</v>
      </c>
      <c r="G44" s="376" t="s">
        <v>459</v>
      </c>
      <c r="H44" s="377"/>
      <c r="I44" s="378"/>
    </row>
    <row r="45" spans="1:9" x14ac:dyDescent="0.2">
      <c r="A45" s="125" t="s">
        <v>395</v>
      </c>
      <c r="B45" s="270" t="s">
        <v>191</v>
      </c>
      <c r="C45" s="271"/>
      <c r="D45" s="77" t="s">
        <v>231</v>
      </c>
      <c r="E45" s="78" t="s">
        <v>215</v>
      </c>
      <c r="F45" s="82">
        <v>1</v>
      </c>
      <c r="G45" s="376" t="s">
        <v>460</v>
      </c>
      <c r="H45" s="377"/>
      <c r="I45" s="378"/>
    </row>
    <row r="46" spans="1:9" x14ac:dyDescent="0.2">
      <c r="A46" s="126" t="s">
        <v>78</v>
      </c>
      <c r="B46" s="350"/>
      <c r="C46" s="351"/>
      <c r="D46" s="101" t="s">
        <v>242</v>
      </c>
      <c r="E46" s="156"/>
      <c r="F46" s="155"/>
      <c r="G46" s="103"/>
      <c r="H46" s="103"/>
      <c r="I46" s="117"/>
    </row>
    <row r="47" spans="1:9" ht="25.5" x14ac:dyDescent="0.2">
      <c r="A47" s="125" t="s">
        <v>310</v>
      </c>
      <c r="B47" s="83" t="s">
        <v>97</v>
      </c>
      <c r="C47" s="76">
        <v>42407</v>
      </c>
      <c r="D47" s="77" t="s">
        <v>241</v>
      </c>
      <c r="E47" s="73" t="s">
        <v>99</v>
      </c>
      <c r="F47" s="82">
        <v>120</v>
      </c>
      <c r="G47" s="360" t="s">
        <v>461</v>
      </c>
      <c r="H47" s="361"/>
      <c r="I47" s="362"/>
    </row>
    <row r="48" spans="1:9" x14ac:dyDescent="0.2">
      <c r="A48" s="126" t="s">
        <v>79</v>
      </c>
      <c r="B48" s="350"/>
      <c r="C48" s="351"/>
      <c r="D48" s="101" t="s">
        <v>239</v>
      </c>
      <c r="E48" s="154"/>
      <c r="F48" s="155"/>
      <c r="G48" s="103"/>
      <c r="H48" s="103"/>
      <c r="I48" s="117"/>
    </row>
    <row r="49" spans="1:9" ht="25.5" x14ac:dyDescent="0.2">
      <c r="A49" s="125" t="s">
        <v>311</v>
      </c>
      <c r="B49" s="83" t="s">
        <v>94</v>
      </c>
      <c r="C49" s="73" t="s">
        <v>184</v>
      </c>
      <c r="D49" s="153" t="s">
        <v>183</v>
      </c>
      <c r="E49" s="152" t="s">
        <v>95</v>
      </c>
      <c r="F49" s="163">
        <f>14*0.3*2*3</f>
        <v>25.2</v>
      </c>
      <c r="G49" s="376" t="s">
        <v>462</v>
      </c>
      <c r="H49" s="377"/>
      <c r="I49" s="378"/>
    </row>
    <row r="50" spans="1:9" ht="40.15" customHeight="1" x14ac:dyDescent="0.2">
      <c r="A50" s="125" t="s">
        <v>312</v>
      </c>
      <c r="B50" s="83" t="s">
        <v>97</v>
      </c>
      <c r="C50" s="73">
        <v>96545</v>
      </c>
      <c r="D50" s="153" t="s">
        <v>185</v>
      </c>
      <c r="E50" s="152" t="s">
        <v>98</v>
      </c>
      <c r="F50" s="82">
        <f>(0.94*14*0.395)*14</f>
        <v>72.77</v>
      </c>
      <c r="G50" s="357" t="s">
        <v>464</v>
      </c>
      <c r="H50" s="358"/>
      <c r="I50" s="359"/>
    </row>
    <row r="51" spans="1:9" ht="25.5" x14ac:dyDescent="0.2">
      <c r="A51" s="125" t="s">
        <v>313</v>
      </c>
      <c r="B51" s="83" t="s">
        <v>97</v>
      </c>
      <c r="C51" s="76">
        <v>103669</v>
      </c>
      <c r="D51" s="153" t="s">
        <v>189</v>
      </c>
      <c r="E51" s="152" t="s">
        <v>96</v>
      </c>
      <c r="F51" s="163">
        <f>(0.25*0.15)*14*3</f>
        <v>1.58</v>
      </c>
      <c r="G51" s="376" t="s">
        <v>465</v>
      </c>
      <c r="H51" s="377"/>
      <c r="I51" s="378"/>
    </row>
    <row r="52" spans="1:9" ht="15" x14ac:dyDescent="0.2">
      <c r="A52" s="126" t="s">
        <v>284</v>
      </c>
      <c r="B52" s="189"/>
      <c r="C52" s="99"/>
      <c r="D52" s="101" t="s">
        <v>188</v>
      </c>
      <c r="E52" s="154"/>
      <c r="F52" s="155"/>
      <c r="G52" s="103"/>
      <c r="H52" s="103"/>
      <c r="I52" s="117"/>
    </row>
    <row r="53" spans="1:9" ht="25.5" x14ac:dyDescent="0.2">
      <c r="A53" s="125" t="s">
        <v>314</v>
      </c>
      <c r="B53" s="83" t="s">
        <v>94</v>
      </c>
      <c r="C53" s="73" t="s">
        <v>184</v>
      </c>
      <c r="D53" s="153" t="s">
        <v>183</v>
      </c>
      <c r="E53" s="152" t="s">
        <v>95</v>
      </c>
      <c r="F53" s="82">
        <f>(54.05)*0.3*2</f>
        <v>32.43</v>
      </c>
      <c r="G53" s="376" t="s">
        <v>467</v>
      </c>
      <c r="H53" s="377"/>
      <c r="I53" s="378"/>
    </row>
    <row r="54" spans="1:9" ht="38.25" x14ac:dyDescent="0.2">
      <c r="A54" s="125" t="s">
        <v>315</v>
      </c>
      <c r="B54" s="83" t="s">
        <v>94</v>
      </c>
      <c r="C54" s="76" t="s">
        <v>304</v>
      </c>
      <c r="D54" s="153" t="s">
        <v>303</v>
      </c>
      <c r="E54" s="152" t="s">
        <v>96</v>
      </c>
      <c r="F54" s="82">
        <f>(54.05)*0.3*0.15</f>
        <v>2.4300000000000002</v>
      </c>
      <c r="G54" s="376" t="s">
        <v>466</v>
      </c>
      <c r="H54" s="377"/>
      <c r="I54" s="378"/>
    </row>
    <row r="55" spans="1:9" x14ac:dyDescent="0.2">
      <c r="A55" s="126" t="s">
        <v>285</v>
      </c>
      <c r="B55" s="350"/>
      <c r="C55" s="351"/>
      <c r="D55" s="101" t="s">
        <v>299</v>
      </c>
      <c r="E55" s="102"/>
      <c r="F55" s="139"/>
      <c r="G55" s="103"/>
      <c r="H55" s="103"/>
      <c r="I55" s="117"/>
    </row>
    <row r="56" spans="1:9" ht="15" x14ac:dyDescent="0.2">
      <c r="A56" s="125" t="s">
        <v>316</v>
      </c>
      <c r="B56" s="83" t="s">
        <v>97</v>
      </c>
      <c r="C56" s="76">
        <v>93182</v>
      </c>
      <c r="D56" s="77" t="s">
        <v>469</v>
      </c>
      <c r="E56" s="85" t="s">
        <v>99</v>
      </c>
      <c r="F56" s="82">
        <f>(6*1)+(2*1.5)+(1*1.3)+(1*0.6)</f>
        <v>10.9</v>
      </c>
      <c r="G56" s="376" t="s">
        <v>470</v>
      </c>
      <c r="H56" s="377"/>
      <c r="I56" s="378"/>
    </row>
    <row r="57" spans="1:9" ht="25.5" x14ac:dyDescent="0.2">
      <c r="A57" s="125" t="s">
        <v>396</v>
      </c>
      <c r="B57" s="83" t="s">
        <v>97</v>
      </c>
      <c r="C57" s="76">
        <v>93183</v>
      </c>
      <c r="D57" s="77" t="s">
        <v>281</v>
      </c>
      <c r="E57" s="85" t="s">
        <v>99</v>
      </c>
      <c r="F57" s="82">
        <f>(9+10)</f>
        <v>19</v>
      </c>
      <c r="G57" s="376" t="s">
        <v>468</v>
      </c>
      <c r="H57" s="377"/>
      <c r="I57" s="378"/>
    </row>
    <row r="58" spans="1:9" ht="38.25" x14ac:dyDescent="0.2">
      <c r="A58" s="125" t="s">
        <v>397</v>
      </c>
      <c r="B58" s="83" t="s">
        <v>94</v>
      </c>
      <c r="C58" s="76" t="s">
        <v>187</v>
      </c>
      <c r="D58" s="77" t="s">
        <v>186</v>
      </c>
      <c r="E58" s="85" t="s">
        <v>96</v>
      </c>
      <c r="F58" s="82">
        <f>(F57)*0.1*0.15</f>
        <v>0.28999999999999998</v>
      </c>
      <c r="G58" s="376" t="s">
        <v>471</v>
      </c>
      <c r="H58" s="377"/>
      <c r="I58" s="378"/>
    </row>
    <row r="59" spans="1:9" ht="51" x14ac:dyDescent="0.2">
      <c r="A59" s="125" t="s">
        <v>398</v>
      </c>
      <c r="B59" s="83" t="s">
        <v>94</v>
      </c>
      <c r="C59" s="76" t="s">
        <v>301</v>
      </c>
      <c r="D59" s="77" t="s">
        <v>300</v>
      </c>
      <c r="E59" s="85" t="s">
        <v>96</v>
      </c>
      <c r="F59" s="82">
        <f>(F56*0.1*0.15)</f>
        <v>0.16</v>
      </c>
      <c r="G59" s="376" t="s">
        <v>472</v>
      </c>
      <c r="H59" s="377"/>
      <c r="I59" s="378"/>
    </row>
    <row r="60" spans="1:9" x14ac:dyDescent="0.2">
      <c r="A60" s="126" t="s">
        <v>399</v>
      </c>
      <c r="B60" s="350"/>
      <c r="C60" s="351"/>
      <c r="D60" s="101" t="s">
        <v>190</v>
      </c>
      <c r="E60" s="102"/>
      <c r="F60" s="139"/>
      <c r="G60" s="103"/>
      <c r="H60" s="103"/>
      <c r="I60" s="117"/>
    </row>
    <row r="61" spans="1:9" ht="76.5" x14ac:dyDescent="0.2">
      <c r="A61" s="252" t="s">
        <v>400</v>
      </c>
      <c r="B61" s="83" t="s">
        <v>94</v>
      </c>
      <c r="C61" s="253" t="s">
        <v>474</v>
      </c>
      <c r="D61" s="254" t="s">
        <v>473</v>
      </c>
      <c r="E61" s="152" t="s">
        <v>95</v>
      </c>
      <c r="F61" s="82">
        <v>71.69</v>
      </c>
      <c r="G61" s="376" t="s">
        <v>476</v>
      </c>
      <c r="H61" s="377"/>
      <c r="I61" s="378"/>
    </row>
    <row r="62" spans="1:9" ht="38.25" x14ac:dyDescent="0.2">
      <c r="A62" s="265" t="str">
        <f>PLANILHA!B62</f>
        <v>4.6.2</v>
      </c>
      <c r="B62" s="79" t="str">
        <f>PLANILHA!C62</f>
        <v>SEINFRA</v>
      </c>
      <c r="C62" s="79" t="str">
        <f>PLANILHA!D62</f>
        <v>ED-19637</v>
      </c>
      <c r="D62" s="255" t="str">
        <f>PLANILHA!E62</f>
        <v>CIMBRAMENTO PARA LAJE PRÉ-MOLDADA COM ESCORAMENTO
METÁLICO, TIPO "A", ALTURA DE (200 ATÉ 310)CM, INCLUSIVE
DESCARGA, MONTAGEM, DESMONTAGEM E CARGA</v>
      </c>
      <c r="E62" s="251" t="str">
        <f>PLANILHA!F62</f>
        <v>m²xmês</v>
      </c>
      <c r="F62" s="82">
        <f>71.69*1</f>
        <v>71.69</v>
      </c>
      <c r="G62" s="376" t="s">
        <v>481</v>
      </c>
      <c r="H62" s="377"/>
      <c r="I62" s="378"/>
    </row>
    <row r="63" spans="1:9" x14ac:dyDescent="0.2">
      <c r="A63" s="288"/>
      <c r="B63" s="289"/>
      <c r="C63" s="289"/>
      <c r="D63" s="289"/>
      <c r="E63" s="289"/>
      <c r="F63" s="289"/>
      <c r="G63" s="289"/>
      <c r="H63" s="289"/>
      <c r="I63" s="290"/>
    </row>
    <row r="64" spans="1:9" ht="15" x14ac:dyDescent="0.2">
      <c r="A64" s="104" t="s">
        <v>87</v>
      </c>
      <c r="B64" s="272"/>
      <c r="C64" s="273"/>
      <c r="D64" s="96" t="s">
        <v>101</v>
      </c>
      <c r="E64" s="97"/>
      <c r="F64" s="137"/>
      <c r="G64" s="100"/>
      <c r="H64" s="105"/>
      <c r="I64" s="98"/>
    </row>
    <row r="65" spans="1:9" ht="25.5" x14ac:dyDescent="0.2">
      <c r="A65" s="93" t="s">
        <v>104</v>
      </c>
      <c r="B65" s="83" t="s">
        <v>94</v>
      </c>
      <c r="C65" s="86" t="s">
        <v>152</v>
      </c>
      <c r="D65" s="87" t="s">
        <v>228</v>
      </c>
      <c r="E65" s="79" t="s">
        <v>203</v>
      </c>
      <c r="F65" s="82">
        <f>(477*17.37)-0.49</f>
        <v>8285</v>
      </c>
      <c r="G65" s="357" t="s">
        <v>482</v>
      </c>
      <c r="H65" s="358"/>
      <c r="I65" s="359"/>
    </row>
    <row r="66" spans="1:9" x14ac:dyDescent="0.2">
      <c r="A66" s="93" t="s">
        <v>130</v>
      </c>
      <c r="B66" s="270" t="s">
        <v>191</v>
      </c>
      <c r="C66" s="271"/>
      <c r="D66" s="87" t="s">
        <v>229</v>
      </c>
      <c r="E66" s="78" t="s">
        <v>215</v>
      </c>
      <c r="F66" s="82">
        <v>2</v>
      </c>
      <c r="G66" s="357" t="s">
        <v>483</v>
      </c>
      <c r="H66" s="358"/>
      <c r="I66" s="359"/>
    </row>
    <row r="67" spans="1:9" ht="25.5" x14ac:dyDescent="0.2">
      <c r="A67" s="93" t="s">
        <v>131</v>
      </c>
      <c r="B67" s="83" t="s">
        <v>94</v>
      </c>
      <c r="C67" s="86" t="s">
        <v>219</v>
      </c>
      <c r="D67" s="161" t="s">
        <v>222</v>
      </c>
      <c r="E67" s="78" t="s">
        <v>96</v>
      </c>
      <c r="F67" s="82">
        <f>0.012936*477</f>
        <v>6.17</v>
      </c>
      <c r="G67" s="357" t="s">
        <v>484</v>
      </c>
      <c r="H67" s="358"/>
      <c r="I67" s="359"/>
    </row>
    <row r="68" spans="1:9" ht="25.5" x14ac:dyDescent="0.2">
      <c r="A68" s="93" t="s">
        <v>132</v>
      </c>
      <c r="B68" s="83" t="s">
        <v>94</v>
      </c>
      <c r="C68" s="86" t="s">
        <v>220</v>
      </c>
      <c r="D68" s="161" t="s">
        <v>223</v>
      </c>
      <c r="E68" s="78" t="s">
        <v>193</v>
      </c>
      <c r="F68" s="82">
        <f>0.7189542*477</f>
        <v>342.94</v>
      </c>
      <c r="G68" s="357" t="s">
        <v>485</v>
      </c>
      <c r="H68" s="358"/>
      <c r="I68" s="359"/>
    </row>
    <row r="69" spans="1:9" ht="25.5" x14ac:dyDescent="0.2">
      <c r="A69" s="93" t="s">
        <v>202</v>
      </c>
      <c r="B69" s="83" t="s">
        <v>94</v>
      </c>
      <c r="C69" s="86" t="s">
        <v>221</v>
      </c>
      <c r="D69" s="161" t="s">
        <v>201</v>
      </c>
      <c r="E69" s="78" t="s">
        <v>193</v>
      </c>
      <c r="F69" s="82">
        <f>0.3594771*477</f>
        <v>171.47</v>
      </c>
      <c r="G69" s="357" t="s">
        <v>507</v>
      </c>
      <c r="H69" s="358"/>
      <c r="I69" s="359"/>
    </row>
    <row r="70" spans="1:9" x14ac:dyDescent="0.2">
      <c r="A70" s="288"/>
      <c r="B70" s="289"/>
      <c r="C70" s="289"/>
      <c r="D70" s="289"/>
      <c r="E70" s="289"/>
      <c r="F70" s="289"/>
      <c r="G70" s="289"/>
      <c r="H70" s="289"/>
      <c r="I70" s="290"/>
    </row>
    <row r="71" spans="1:9" ht="15" x14ac:dyDescent="0.2">
      <c r="A71" s="106" t="s">
        <v>88</v>
      </c>
      <c r="B71" s="272"/>
      <c r="C71" s="273"/>
      <c r="D71" s="96" t="s">
        <v>82</v>
      </c>
      <c r="E71" s="108"/>
      <c r="F71" s="140"/>
      <c r="G71" s="109"/>
      <c r="H71" s="110"/>
      <c r="I71" s="98"/>
    </row>
    <row r="72" spans="1:9" ht="25.5" x14ac:dyDescent="0.2">
      <c r="A72" s="94" t="s">
        <v>105</v>
      </c>
      <c r="B72" s="83" t="s">
        <v>94</v>
      </c>
      <c r="C72" s="73" t="s">
        <v>275</v>
      </c>
      <c r="D72" s="92" t="s">
        <v>486</v>
      </c>
      <c r="E72" s="85" t="s">
        <v>103</v>
      </c>
      <c r="F72" s="82">
        <v>6</v>
      </c>
      <c r="G72" s="357" t="s">
        <v>293</v>
      </c>
      <c r="H72" s="358"/>
      <c r="I72" s="359"/>
    </row>
    <row r="73" spans="1:9" ht="25.5" x14ac:dyDescent="0.2">
      <c r="A73" s="94" t="s">
        <v>133</v>
      </c>
      <c r="B73" s="83" t="s">
        <v>94</v>
      </c>
      <c r="C73" s="73" t="s">
        <v>276</v>
      </c>
      <c r="D73" s="92" t="s">
        <v>487</v>
      </c>
      <c r="E73" s="85" t="s">
        <v>103</v>
      </c>
      <c r="F73" s="82">
        <v>1</v>
      </c>
      <c r="G73" s="357" t="s">
        <v>291</v>
      </c>
      <c r="H73" s="358"/>
      <c r="I73" s="359"/>
    </row>
    <row r="74" spans="1:9" ht="25.5" x14ac:dyDescent="0.2">
      <c r="A74" s="94" t="s">
        <v>106</v>
      </c>
      <c r="B74" s="83" t="s">
        <v>94</v>
      </c>
      <c r="C74" s="73" t="s">
        <v>290</v>
      </c>
      <c r="D74" s="92" t="s">
        <v>289</v>
      </c>
      <c r="E74" s="85" t="s">
        <v>103</v>
      </c>
      <c r="F74" s="82">
        <v>1</v>
      </c>
      <c r="G74" s="357" t="s">
        <v>292</v>
      </c>
      <c r="H74" s="358"/>
      <c r="I74" s="359"/>
    </row>
    <row r="75" spans="1:9" ht="51" x14ac:dyDescent="0.2">
      <c r="A75" s="94" t="s">
        <v>165</v>
      </c>
      <c r="B75" s="83" t="s">
        <v>94</v>
      </c>
      <c r="C75" s="73" t="s">
        <v>295</v>
      </c>
      <c r="D75" s="92" t="s">
        <v>294</v>
      </c>
      <c r="E75" s="85" t="s">
        <v>103</v>
      </c>
      <c r="F75" s="82">
        <v>1</v>
      </c>
      <c r="G75" s="357" t="s">
        <v>296</v>
      </c>
      <c r="H75" s="358"/>
      <c r="I75" s="359"/>
    </row>
    <row r="76" spans="1:9" ht="38.25" x14ac:dyDescent="0.2">
      <c r="A76" s="94" t="s">
        <v>255</v>
      </c>
      <c r="B76" s="83" t="s">
        <v>94</v>
      </c>
      <c r="C76" s="73" t="s">
        <v>288</v>
      </c>
      <c r="D76" s="92" t="s">
        <v>287</v>
      </c>
      <c r="E76" s="85" t="s">
        <v>103</v>
      </c>
      <c r="F76" s="82">
        <v>2</v>
      </c>
      <c r="G76" s="357" t="s">
        <v>490</v>
      </c>
      <c r="H76" s="358"/>
      <c r="I76" s="359"/>
    </row>
    <row r="77" spans="1:9" ht="38.25" x14ac:dyDescent="0.2">
      <c r="A77" s="94" t="s">
        <v>256</v>
      </c>
      <c r="B77" s="83" t="s">
        <v>94</v>
      </c>
      <c r="C77" s="92" t="str">
        <f>PLANILHA!D77</f>
        <v>ED-50978</v>
      </c>
      <c r="D77" s="92" t="str">
        <f>PLANILHA!E77</f>
        <v>PORTA DE SANITÁRIO COMPLETA, COM BATENTES DE FERRO,
ESTRUTURA EM METALON 20 X 30, FOLHA EM CHAPA
GALVANIZADA Nº. 18, TRANQUETA E DOBRADIÇAS - 60 X 180 CM</v>
      </c>
      <c r="E77" s="85" t="s">
        <v>103</v>
      </c>
      <c r="F77" s="82">
        <v>3</v>
      </c>
      <c r="G77" s="357" t="s">
        <v>565</v>
      </c>
      <c r="H77" s="358"/>
      <c r="I77" s="359"/>
    </row>
    <row r="78" spans="1:9" ht="25.5" x14ac:dyDescent="0.2">
      <c r="A78" s="266" t="str">
        <f>PLANILHA!B78</f>
        <v>6.7</v>
      </c>
      <c r="B78" s="263" t="str">
        <f>PLANILHA!C78</f>
        <v>SEINFRA</v>
      </c>
      <c r="C78" s="263" t="str">
        <f>PLANILHA!D78</f>
        <v>ED-50985</v>
      </c>
      <c r="D78" s="92" t="str">
        <f>PLANILHA!E78</f>
        <v>PORTÃO EM PERFIL E CHAPA METÁLICA</v>
      </c>
      <c r="E78" s="85" t="s">
        <v>95</v>
      </c>
      <c r="F78" s="82">
        <f>2.57*2.1</f>
        <v>5.4</v>
      </c>
      <c r="G78" s="357" t="s">
        <v>569</v>
      </c>
      <c r="H78" s="358"/>
      <c r="I78" s="359"/>
    </row>
    <row r="79" spans="1:9" ht="25.5" x14ac:dyDescent="0.2">
      <c r="A79" s="266" t="str">
        <f>PLANILHA!B79</f>
        <v>6.8</v>
      </c>
      <c r="B79" s="83" t="s">
        <v>94</v>
      </c>
      <c r="C79" s="73" t="s">
        <v>278</v>
      </c>
      <c r="D79" s="92" t="s">
        <v>277</v>
      </c>
      <c r="E79" s="85" t="s">
        <v>95</v>
      </c>
      <c r="F79" s="82">
        <f>(1.5*1)+(0.6*1*2)</f>
        <v>2.7</v>
      </c>
      <c r="G79" s="357" t="s">
        <v>495</v>
      </c>
      <c r="H79" s="358"/>
      <c r="I79" s="359"/>
    </row>
    <row r="80" spans="1:9" ht="38.25" x14ac:dyDescent="0.2">
      <c r="A80" s="266" t="str">
        <f>PLANILHA!B80</f>
        <v>6.9</v>
      </c>
      <c r="B80" s="83" t="s">
        <v>94</v>
      </c>
      <c r="C80" s="73" t="s">
        <v>280</v>
      </c>
      <c r="D80" s="92" t="s">
        <v>279</v>
      </c>
      <c r="E80" s="85" t="s">
        <v>95</v>
      </c>
      <c r="F80" s="82">
        <f>1.3*1</f>
        <v>1.3</v>
      </c>
      <c r="G80" s="357" t="s">
        <v>491</v>
      </c>
      <c r="H80" s="358"/>
      <c r="I80" s="359"/>
    </row>
    <row r="81" spans="1:9" ht="25.5" x14ac:dyDescent="0.2">
      <c r="A81" s="266" t="str">
        <f>PLANILHA!B81</f>
        <v>6.10</v>
      </c>
      <c r="B81" s="83" t="s">
        <v>94</v>
      </c>
      <c r="C81" s="73" t="s">
        <v>283</v>
      </c>
      <c r="D81" s="92" t="s">
        <v>282</v>
      </c>
      <c r="E81" s="85" t="s">
        <v>95</v>
      </c>
      <c r="F81" s="82">
        <f>(1*0.6)*6</f>
        <v>3.6</v>
      </c>
      <c r="G81" s="357" t="s">
        <v>494</v>
      </c>
      <c r="H81" s="358"/>
      <c r="I81" s="359"/>
    </row>
    <row r="82" spans="1:9" ht="38.25" x14ac:dyDescent="0.2">
      <c r="A82" s="266" t="str">
        <f>PLANILHA!B82</f>
        <v>6.11</v>
      </c>
      <c r="B82" s="270" t="s">
        <v>191</v>
      </c>
      <c r="C82" s="271"/>
      <c r="D82" s="92" t="s">
        <v>297</v>
      </c>
      <c r="E82" s="85" t="s">
        <v>103</v>
      </c>
      <c r="F82" s="82">
        <v>19</v>
      </c>
      <c r="G82" s="357" t="s">
        <v>492</v>
      </c>
      <c r="H82" s="358"/>
      <c r="I82" s="359"/>
    </row>
    <row r="83" spans="1:9" ht="38.25" x14ac:dyDescent="0.2">
      <c r="A83" s="266" t="str">
        <f>PLANILHA!B83</f>
        <v>6.12</v>
      </c>
      <c r="B83" s="270" t="s">
        <v>191</v>
      </c>
      <c r="C83" s="271"/>
      <c r="D83" s="92" t="s">
        <v>298</v>
      </c>
      <c r="E83" s="85" t="s">
        <v>103</v>
      </c>
      <c r="F83" s="82">
        <v>1</v>
      </c>
      <c r="G83" s="357" t="s">
        <v>496</v>
      </c>
      <c r="H83" s="358"/>
      <c r="I83" s="359"/>
    </row>
    <row r="84" spans="1:9" x14ac:dyDescent="0.2">
      <c r="A84" s="288"/>
      <c r="B84" s="289"/>
      <c r="C84" s="289"/>
      <c r="D84" s="289"/>
      <c r="E84" s="289"/>
      <c r="F84" s="289"/>
      <c r="G84" s="289"/>
      <c r="H84" s="289"/>
      <c r="I84" s="290"/>
    </row>
    <row r="85" spans="1:9" ht="15" x14ac:dyDescent="0.2">
      <c r="A85" s="106" t="s">
        <v>89</v>
      </c>
      <c r="B85" s="272"/>
      <c r="C85" s="273"/>
      <c r="D85" s="112" t="s">
        <v>83</v>
      </c>
      <c r="E85" s="111"/>
      <c r="F85" s="140"/>
      <c r="G85" s="109"/>
      <c r="H85" s="110"/>
      <c r="I85" s="98"/>
    </row>
    <row r="86" spans="1:9" ht="45.6" customHeight="1" x14ac:dyDescent="0.2">
      <c r="A86" s="94" t="s">
        <v>134</v>
      </c>
      <c r="B86" s="270" t="s">
        <v>191</v>
      </c>
      <c r="C86" s="271"/>
      <c r="D86" s="77" t="s">
        <v>195</v>
      </c>
      <c r="E86" s="78" t="s">
        <v>99</v>
      </c>
      <c r="F86" s="82">
        <f>(437*2)+(416*2)+(234*2)+140.48</f>
        <v>2314.48</v>
      </c>
      <c r="G86" s="357" t="s">
        <v>497</v>
      </c>
      <c r="H86" s="358"/>
      <c r="I86" s="359"/>
    </row>
    <row r="87" spans="1:9" ht="72" customHeight="1" x14ac:dyDescent="0.2">
      <c r="A87" s="94" t="s">
        <v>107</v>
      </c>
      <c r="B87" s="270" t="s">
        <v>191</v>
      </c>
      <c r="C87" s="271"/>
      <c r="D87" s="77" t="s">
        <v>196</v>
      </c>
      <c r="E87" s="78" t="s">
        <v>99</v>
      </c>
      <c r="F87" s="82">
        <f>(266*2)+(275*2)+(128*2)+((3.73*18)+21.34)</f>
        <v>1426.48</v>
      </c>
      <c r="G87" s="357" t="s">
        <v>498</v>
      </c>
      <c r="H87" s="358"/>
      <c r="I87" s="359"/>
    </row>
    <row r="88" spans="1:9" ht="25.5" x14ac:dyDescent="0.2">
      <c r="A88" s="94" t="s">
        <v>143</v>
      </c>
      <c r="B88" s="270" t="s">
        <v>191</v>
      </c>
      <c r="C88" s="271"/>
      <c r="D88" s="77" t="s">
        <v>197</v>
      </c>
      <c r="E88" s="78" t="s">
        <v>99</v>
      </c>
      <c r="F88" s="82">
        <f>35.5*8</f>
        <v>284</v>
      </c>
      <c r="G88" s="357" t="s">
        <v>499</v>
      </c>
      <c r="H88" s="358"/>
      <c r="I88" s="359"/>
    </row>
    <row r="89" spans="1:9" ht="25.5" x14ac:dyDescent="0.2">
      <c r="A89" s="94" t="s">
        <v>156</v>
      </c>
      <c r="B89" s="270" t="s">
        <v>191</v>
      </c>
      <c r="C89" s="271"/>
      <c r="D89" s="77" t="s">
        <v>226</v>
      </c>
      <c r="E89" s="78" t="s">
        <v>115</v>
      </c>
      <c r="F89" s="82">
        <v>9</v>
      </c>
      <c r="G89" s="357" t="s">
        <v>500</v>
      </c>
      <c r="H89" s="358"/>
      <c r="I89" s="359"/>
    </row>
    <row r="90" spans="1:9" ht="25.5" x14ac:dyDescent="0.2">
      <c r="A90" s="94" t="s">
        <v>321</v>
      </c>
      <c r="B90" s="270" t="s">
        <v>191</v>
      </c>
      <c r="C90" s="271"/>
      <c r="D90" s="77" t="s">
        <v>224</v>
      </c>
      <c r="E90" s="78" t="s">
        <v>115</v>
      </c>
      <c r="F90" s="82">
        <f>25.16*9</f>
        <v>226.44</v>
      </c>
      <c r="G90" s="357" t="s">
        <v>501</v>
      </c>
      <c r="H90" s="358"/>
      <c r="I90" s="359"/>
    </row>
    <row r="91" spans="1:9" ht="25.5" x14ac:dyDescent="0.2">
      <c r="A91" s="94" t="s">
        <v>322</v>
      </c>
      <c r="B91" s="270" t="s">
        <v>191</v>
      </c>
      <c r="C91" s="271"/>
      <c r="D91" s="77" t="s">
        <v>198</v>
      </c>
      <c r="E91" s="78" t="s">
        <v>99</v>
      </c>
      <c r="F91" s="82">
        <f>47*9</f>
        <v>423</v>
      </c>
      <c r="G91" s="357" t="s">
        <v>502</v>
      </c>
      <c r="H91" s="358"/>
      <c r="I91" s="359"/>
    </row>
    <row r="92" spans="1:9" x14ac:dyDescent="0.2">
      <c r="A92" s="94" t="s">
        <v>323</v>
      </c>
      <c r="B92" s="270" t="s">
        <v>191</v>
      </c>
      <c r="C92" s="271"/>
      <c r="D92" s="77" t="s">
        <v>231</v>
      </c>
      <c r="E92" s="78" t="s">
        <v>215</v>
      </c>
      <c r="F92" s="82">
        <v>2</v>
      </c>
      <c r="G92" s="357" t="s">
        <v>483</v>
      </c>
      <c r="H92" s="358"/>
      <c r="I92" s="359"/>
    </row>
    <row r="93" spans="1:9" x14ac:dyDescent="0.2">
      <c r="A93" s="94" t="s">
        <v>324</v>
      </c>
      <c r="B93" s="270" t="s">
        <v>191</v>
      </c>
      <c r="C93" s="271"/>
      <c r="D93" s="77" t="s">
        <v>204</v>
      </c>
      <c r="E93" s="78" t="s">
        <v>203</v>
      </c>
      <c r="F93" s="82">
        <f>(690*26.5)</f>
        <v>18285</v>
      </c>
      <c r="G93" s="357" t="s">
        <v>503</v>
      </c>
      <c r="H93" s="358"/>
      <c r="I93" s="359"/>
    </row>
    <row r="94" spans="1:9" x14ac:dyDescent="0.2">
      <c r="A94" s="94" t="s">
        <v>325</v>
      </c>
      <c r="B94" s="270" t="s">
        <v>191</v>
      </c>
      <c r="C94" s="271"/>
      <c r="D94" s="77" t="s">
        <v>230</v>
      </c>
      <c r="E94" s="78" t="s">
        <v>215</v>
      </c>
      <c r="F94" s="82">
        <v>2</v>
      </c>
      <c r="G94" s="357" t="s">
        <v>483</v>
      </c>
      <c r="H94" s="358"/>
      <c r="I94" s="359"/>
    </row>
    <row r="95" spans="1:9" x14ac:dyDescent="0.2">
      <c r="A95" s="94" t="s">
        <v>326</v>
      </c>
      <c r="B95" s="270" t="s">
        <v>191</v>
      </c>
      <c r="C95" s="271"/>
      <c r="D95" s="77" t="s">
        <v>335</v>
      </c>
      <c r="E95" s="78" t="s">
        <v>115</v>
      </c>
      <c r="F95" s="82">
        <f>(4.88*2)+26</f>
        <v>35.76</v>
      </c>
      <c r="G95" s="357" t="s">
        <v>504</v>
      </c>
      <c r="H95" s="358"/>
      <c r="I95" s="359"/>
    </row>
    <row r="96" spans="1:9" ht="25.5" x14ac:dyDescent="0.2">
      <c r="A96" s="94" t="s">
        <v>327</v>
      </c>
      <c r="B96" s="83" t="s">
        <v>94</v>
      </c>
      <c r="C96" s="261" t="s">
        <v>387</v>
      </c>
      <c r="D96" s="77" t="s">
        <v>386</v>
      </c>
      <c r="E96" s="85" t="s">
        <v>95</v>
      </c>
      <c r="F96" s="82">
        <f>F61</f>
        <v>71.69</v>
      </c>
      <c r="G96" s="357" t="s">
        <v>505</v>
      </c>
      <c r="H96" s="358"/>
      <c r="I96" s="359"/>
    </row>
    <row r="97" spans="1:9" ht="25.5" x14ac:dyDescent="0.2">
      <c r="A97" s="94" t="s">
        <v>328</v>
      </c>
      <c r="B97" s="83" t="s">
        <v>94</v>
      </c>
      <c r="C97" s="261" t="s">
        <v>390</v>
      </c>
      <c r="D97" s="77" t="s">
        <v>389</v>
      </c>
      <c r="E97" s="85" t="s">
        <v>95</v>
      </c>
      <c r="F97" s="82">
        <f>F96</f>
        <v>71.69</v>
      </c>
      <c r="G97" s="357" t="s">
        <v>506</v>
      </c>
      <c r="H97" s="358"/>
      <c r="I97" s="359"/>
    </row>
    <row r="98" spans="1:9" ht="38.25" x14ac:dyDescent="0.2">
      <c r="A98" s="94" t="s">
        <v>329</v>
      </c>
      <c r="B98" s="83" t="s">
        <v>94</v>
      </c>
      <c r="C98" s="261" t="str">
        <f>PLANILHA!D98</f>
        <v>ED-50667</v>
      </c>
      <c r="D98" s="77" t="str">
        <f>PLANILHA!E98</f>
        <v>CHAPIM EM CHAPA GALVANIZADA, COM PINGADEIRA, ESP. 0,
65MM (GSG-24), COM DESENVOLVIMENTO DE 35CM, INCLUSIVE
IÇAMENTO MANUAL VERTICAL</v>
      </c>
      <c r="E98" s="78" t="s">
        <v>99</v>
      </c>
      <c r="F98" s="82">
        <f>10.3+10.3+6.7+6.7</f>
        <v>34</v>
      </c>
      <c r="G98" s="357" t="s">
        <v>559</v>
      </c>
      <c r="H98" s="358"/>
      <c r="I98" s="359"/>
    </row>
    <row r="99" spans="1:9" ht="15" x14ac:dyDescent="0.2">
      <c r="A99" s="94" t="s">
        <v>330</v>
      </c>
      <c r="B99" s="83" t="s">
        <v>97</v>
      </c>
      <c r="C99" s="76">
        <v>88323</v>
      </c>
      <c r="D99" s="77" t="s">
        <v>192</v>
      </c>
      <c r="E99" s="78" t="s">
        <v>193</v>
      </c>
      <c r="F99" s="82">
        <f>690*0.75</f>
        <v>517.5</v>
      </c>
      <c r="G99" s="357" t="s">
        <v>508</v>
      </c>
      <c r="H99" s="358"/>
      <c r="I99" s="359"/>
    </row>
    <row r="100" spans="1:9" ht="25.5" x14ac:dyDescent="0.2">
      <c r="A100" s="94" t="s">
        <v>331</v>
      </c>
      <c r="B100" s="83" t="s">
        <v>94</v>
      </c>
      <c r="C100" s="76" t="s">
        <v>218</v>
      </c>
      <c r="D100" s="77" t="s">
        <v>217</v>
      </c>
      <c r="E100" s="78" t="s">
        <v>193</v>
      </c>
      <c r="F100" s="82">
        <f>690*1.5</f>
        <v>1035</v>
      </c>
      <c r="G100" s="357" t="s">
        <v>509</v>
      </c>
      <c r="H100" s="358"/>
      <c r="I100" s="359"/>
    </row>
    <row r="101" spans="1:9" ht="25.5" x14ac:dyDescent="0.2">
      <c r="A101" s="94" t="s">
        <v>388</v>
      </c>
      <c r="B101" s="83" t="s">
        <v>97</v>
      </c>
      <c r="C101" s="76">
        <v>88262</v>
      </c>
      <c r="D101" s="77" t="s">
        <v>200</v>
      </c>
      <c r="E101" s="78" t="s">
        <v>193</v>
      </c>
      <c r="F101" s="82">
        <f>F102</f>
        <v>480</v>
      </c>
      <c r="G101" s="357" t="s">
        <v>510</v>
      </c>
      <c r="H101" s="358"/>
      <c r="I101" s="359"/>
    </row>
    <row r="102" spans="1:9" ht="25.5" x14ac:dyDescent="0.2">
      <c r="A102" s="94" t="s">
        <v>558</v>
      </c>
      <c r="B102" s="83" t="s">
        <v>97</v>
      </c>
      <c r="C102" s="76">
        <v>88239</v>
      </c>
      <c r="D102" s="77" t="s">
        <v>199</v>
      </c>
      <c r="E102" s="78" t="s">
        <v>193</v>
      </c>
      <c r="F102" s="82">
        <v>480</v>
      </c>
      <c r="G102" s="357" t="s">
        <v>510</v>
      </c>
      <c r="H102" s="358"/>
      <c r="I102" s="359"/>
    </row>
    <row r="103" spans="1:9" x14ac:dyDescent="0.2">
      <c r="A103" s="288"/>
      <c r="B103" s="289"/>
      <c r="C103" s="289"/>
      <c r="D103" s="289"/>
      <c r="E103" s="289"/>
      <c r="F103" s="289"/>
      <c r="G103" s="289"/>
      <c r="H103" s="289"/>
      <c r="I103" s="290"/>
    </row>
    <row r="104" spans="1:9" ht="15" x14ac:dyDescent="0.2">
      <c r="A104" s="106" t="s">
        <v>135</v>
      </c>
      <c r="B104" s="272"/>
      <c r="C104" s="273"/>
      <c r="D104" s="112" t="s">
        <v>85</v>
      </c>
      <c r="E104" s="108"/>
      <c r="F104" s="140"/>
      <c r="G104" s="109"/>
      <c r="H104" s="110"/>
      <c r="I104" s="98"/>
    </row>
    <row r="105" spans="1:9" ht="127.5" x14ac:dyDescent="0.2">
      <c r="A105" s="94" t="s">
        <v>136</v>
      </c>
      <c r="B105" s="83" t="s">
        <v>94</v>
      </c>
      <c r="C105" s="76" t="s">
        <v>116</v>
      </c>
      <c r="D105" s="77" t="s">
        <v>137</v>
      </c>
      <c r="E105" s="78" t="s">
        <v>115</v>
      </c>
      <c r="F105" s="82">
        <v>31</v>
      </c>
      <c r="G105" s="357" t="s">
        <v>511</v>
      </c>
      <c r="H105" s="358"/>
      <c r="I105" s="359"/>
    </row>
    <row r="106" spans="1:9" ht="114.75" x14ac:dyDescent="0.2">
      <c r="A106" s="94" t="s">
        <v>140</v>
      </c>
      <c r="B106" s="83" t="s">
        <v>94</v>
      </c>
      <c r="C106" s="76" t="s">
        <v>254</v>
      </c>
      <c r="D106" s="77" t="s">
        <v>253</v>
      </c>
      <c r="E106" s="78" t="s">
        <v>115</v>
      </c>
      <c r="F106" s="82">
        <v>14</v>
      </c>
      <c r="G106" s="357" t="s">
        <v>512</v>
      </c>
      <c r="H106" s="358"/>
      <c r="I106" s="359"/>
    </row>
    <row r="107" spans="1:9" ht="127.5" x14ac:dyDescent="0.2">
      <c r="A107" s="94" t="s">
        <v>210</v>
      </c>
      <c r="B107" s="83" t="s">
        <v>94</v>
      </c>
      <c r="C107" s="76" t="s">
        <v>259</v>
      </c>
      <c r="D107" s="77" t="s">
        <v>258</v>
      </c>
      <c r="E107" s="78" t="s">
        <v>115</v>
      </c>
      <c r="F107" s="82">
        <v>35</v>
      </c>
      <c r="G107" s="357" t="s">
        <v>513</v>
      </c>
      <c r="H107" s="358"/>
      <c r="I107" s="359"/>
    </row>
    <row r="108" spans="1:9" ht="114.75" x14ac:dyDescent="0.2">
      <c r="A108" s="94" t="s">
        <v>211</v>
      </c>
      <c r="B108" s="83" t="s">
        <v>94</v>
      </c>
      <c r="C108" s="76" t="s">
        <v>261</v>
      </c>
      <c r="D108" s="77" t="s">
        <v>260</v>
      </c>
      <c r="E108" s="78" t="s">
        <v>115</v>
      </c>
      <c r="F108" s="82">
        <v>2</v>
      </c>
      <c r="G108" s="357" t="s">
        <v>514</v>
      </c>
      <c r="H108" s="358"/>
      <c r="I108" s="359"/>
    </row>
    <row r="109" spans="1:9" ht="38.25" x14ac:dyDescent="0.2">
      <c r="A109" s="94" t="s">
        <v>332</v>
      </c>
      <c r="B109" s="83" t="s">
        <v>97</v>
      </c>
      <c r="C109" s="76">
        <v>101876</v>
      </c>
      <c r="D109" s="77" t="s">
        <v>117</v>
      </c>
      <c r="E109" s="88" t="s">
        <v>103</v>
      </c>
      <c r="F109" s="82">
        <v>2</v>
      </c>
      <c r="G109" s="357" t="s">
        <v>515</v>
      </c>
      <c r="H109" s="358"/>
      <c r="I109" s="359"/>
    </row>
    <row r="110" spans="1:9" ht="15" x14ac:dyDescent="0.2">
      <c r="A110" s="113" t="s">
        <v>140</v>
      </c>
      <c r="B110" s="114"/>
      <c r="C110" s="99"/>
      <c r="D110" s="115" t="s">
        <v>113</v>
      </c>
      <c r="E110" s="116"/>
      <c r="F110" s="141"/>
      <c r="G110" s="103"/>
      <c r="H110" s="103"/>
      <c r="I110" s="117"/>
    </row>
    <row r="111" spans="1:9" ht="48.6" customHeight="1" x14ac:dyDescent="0.2">
      <c r="A111" s="94" t="s">
        <v>333</v>
      </c>
      <c r="B111" s="83" t="s">
        <v>97</v>
      </c>
      <c r="C111" s="76">
        <v>34653</v>
      </c>
      <c r="D111" s="95" t="s">
        <v>114</v>
      </c>
      <c r="E111" s="88" t="s">
        <v>103</v>
      </c>
      <c r="F111" s="82">
        <v>6</v>
      </c>
      <c r="G111" s="357" t="s">
        <v>517</v>
      </c>
      <c r="H111" s="358"/>
      <c r="I111" s="359"/>
    </row>
    <row r="112" spans="1:9" ht="57" customHeight="1" x14ac:dyDescent="0.2">
      <c r="A112" s="94" t="s">
        <v>415</v>
      </c>
      <c r="B112" s="83" t="s">
        <v>97</v>
      </c>
      <c r="C112" s="76">
        <v>34616</v>
      </c>
      <c r="D112" s="95" t="s">
        <v>416</v>
      </c>
      <c r="E112" s="88" t="s">
        <v>103</v>
      </c>
      <c r="F112" s="82">
        <v>5</v>
      </c>
      <c r="G112" s="357" t="s">
        <v>516</v>
      </c>
      <c r="H112" s="358"/>
      <c r="I112" s="359"/>
    </row>
    <row r="113" spans="1:9" x14ac:dyDescent="0.2">
      <c r="A113" s="288"/>
      <c r="B113" s="289"/>
      <c r="C113" s="289"/>
      <c r="D113" s="289"/>
      <c r="E113" s="289"/>
      <c r="F113" s="289"/>
      <c r="G113" s="289"/>
      <c r="H113" s="289"/>
      <c r="I113" s="290"/>
    </row>
    <row r="114" spans="1:9" ht="15" x14ac:dyDescent="0.2">
      <c r="A114" s="118" t="s">
        <v>90</v>
      </c>
      <c r="B114" s="272"/>
      <c r="C114" s="273"/>
      <c r="D114" s="112" t="s">
        <v>84</v>
      </c>
      <c r="E114" s="108"/>
      <c r="F114" s="140"/>
      <c r="G114" s="109"/>
      <c r="H114" s="110"/>
      <c r="I114" s="98"/>
    </row>
    <row r="115" spans="1:9" ht="38.25" x14ac:dyDescent="0.2">
      <c r="A115" s="94" t="s">
        <v>108</v>
      </c>
      <c r="B115" s="83" t="s">
        <v>97</v>
      </c>
      <c r="C115" s="76">
        <v>87878</v>
      </c>
      <c r="D115" s="77" t="s">
        <v>269</v>
      </c>
      <c r="E115" s="91" t="s">
        <v>95</v>
      </c>
      <c r="F115" s="82">
        <f>477*2</f>
        <v>954</v>
      </c>
      <c r="G115" s="357" t="s">
        <v>518</v>
      </c>
      <c r="H115" s="358"/>
      <c r="I115" s="359"/>
    </row>
    <row r="116" spans="1:9" ht="38.25" x14ac:dyDescent="0.2">
      <c r="A116" s="94" t="s">
        <v>109</v>
      </c>
      <c r="B116" s="83" t="s">
        <v>94</v>
      </c>
      <c r="C116" s="73" t="s">
        <v>271</v>
      </c>
      <c r="D116" s="75" t="s">
        <v>270</v>
      </c>
      <c r="E116" s="85" t="s">
        <v>95</v>
      </c>
      <c r="F116" s="82">
        <f>F115-F117</f>
        <v>733.84</v>
      </c>
      <c r="G116" s="357" t="s">
        <v>520</v>
      </c>
      <c r="H116" s="358"/>
      <c r="I116" s="359"/>
    </row>
    <row r="117" spans="1:9" ht="25.5" x14ac:dyDescent="0.2">
      <c r="A117" s="94" t="s">
        <v>110</v>
      </c>
      <c r="B117" s="83" t="s">
        <v>94</v>
      </c>
      <c r="C117" s="73" t="s">
        <v>155</v>
      </c>
      <c r="D117" s="75" t="s">
        <v>154</v>
      </c>
      <c r="E117" s="85" t="s">
        <v>95</v>
      </c>
      <c r="F117" s="82">
        <v>220.16</v>
      </c>
      <c r="G117" s="357" t="s">
        <v>519</v>
      </c>
      <c r="H117" s="358"/>
      <c r="I117" s="359"/>
    </row>
    <row r="118" spans="1:9" ht="63.75" x14ac:dyDescent="0.2">
      <c r="A118" s="94" t="s">
        <v>124</v>
      </c>
      <c r="B118" s="83" t="s">
        <v>94</v>
      </c>
      <c r="C118" s="73" t="s">
        <v>142</v>
      </c>
      <c r="D118" s="75" t="s">
        <v>141</v>
      </c>
      <c r="E118" s="85" t="s">
        <v>95</v>
      </c>
      <c r="F118" s="82">
        <f>F117</f>
        <v>220.16</v>
      </c>
      <c r="G118" s="357" t="s">
        <v>521</v>
      </c>
      <c r="H118" s="358"/>
      <c r="I118" s="359"/>
    </row>
    <row r="119" spans="1:9" x14ac:dyDescent="0.2">
      <c r="A119" s="288"/>
      <c r="B119" s="289"/>
      <c r="C119" s="289"/>
      <c r="D119" s="289"/>
      <c r="E119" s="289"/>
      <c r="F119" s="289"/>
      <c r="G119" s="289"/>
      <c r="H119" s="289"/>
      <c r="I119" s="290"/>
    </row>
    <row r="120" spans="1:9" ht="15" x14ac:dyDescent="0.2">
      <c r="A120" s="106" t="s">
        <v>91</v>
      </c>
      <c r="B120" s="272"/>
      <c r="C120" s="273"/>
      <c r="D120" s="112" t="s">
        <v>119</v>
      </c>
      <c r="E120" s="108"/>
      <c r="F120" s="140"/>
      <c r="G120" s="109"/>
      <c r="H120" s="110"/>
      <c r="I120" s="98"/>
    </row>
    <row r="121" spans="1:9" ht="25.5" x14ac:dyDescent="0.2">
      <c r="A121" s="94" t="s">
        <v>166</v>
      </c>
      <c r="B121" s="83" t="s">
        <v>94</v>
      </c>
      <c r="C121" s="76" t="s">
        <v>206</v>
      </c>
      <c r="D121" s="77" t="s">
        <v>205</v>
      </c>
      <c r="E121" s="89" t="s">
        <v>95</v>
      </c>
      <c r="F121" s="82">
        <v>474</v>
      </c>
      <c r="G121" s="357" t="s">
        <v>522</v>
      </c>
      <c r="H121" s="358"/>
      <c r="I121" s="359"/>
    </row>
    <row r="122" spans="1:9" ht="38.25" x14ac:dyDescent="0.2">
      <c r="A122" s="94" t="s">
        <v>306</v>
      </c>
      <c r="B122" s="83" t="s">
        <v>94</v>
      </c>
      <c r="C122" s="76" t="s">
        <v>524</v>
      </c>
      <c r="D122" s="77" t="s">
        <v>523</v>
      </c>
      <c r="E122" s="89" t="s">
        <v>95</v>
      </c>
      <c r="F122" s="82">
        <f>F121-F125</f>
        <v>391.45</v>
      </c>
      <c r="G122" s="357" t="s">
        <v>526</v>
      </c>
      <c r="H122" s="358"/>
      <c r="I122" s="359"/>
    </row>
    <row r="123" spans="1:9" ht="38.25" x14ac:dyDescent="0.2">
      <c r="A123" s="94" t="s">
        <v>334</v>
      </c>
      <c r="B123" s="83" t="s">
        <v>94</v>
      </c>
      <c r="C123" s="76" t="s">
        <v>208</v>
      </c>
      <c r="D123" s="77" t="s">
        <v>207</v>
      </c>
      <c r="E123" s="89" t="s">
        <v>95</v>
      </c>
      <c r="F123" s="82">
        <f>F122</f>
        <v>391.45</v>
      </c>
      <c r="G123" s="357" t="s">
        <v>527</v>
      </c>
      <c r="H123" s="358"/>
      <c r="I123" s="359"/>
    </row>
    <row r="124" spans="1:9" ht="15" x14ac:dyDescent="0.2">
      <c r="A124" s="94" t="s">
        <v>249</v>
      </c>
      <c r="B124" s="83" t="s">
        <v>97</v>
      </c>
      <c r="C124" s="76">
        <v>92800</v>
      </c>
      <c r="D124" s="77" t="s">
        <v>209</v>
      </c>
      <c r="E124" s="89" t="s">
        <v>98</v>
      </c>
      <c r="F124" s="82">
        <f>(557-F125)*0.154</f>
        <v>73.069999999999993</v>
      </c>
      <c r="G124" s="357" t="s">
        <v>528</v>
      </c>
      <c r="H124" s="358"/>
      <c r="I124" s="359"/>
    </row>
    <row r="125" spans="1:9" ht="63.75" x14ac:dyDescent="0.2">
      <c r="A125" s="94" t="s">
        <v>525</v>
      </c>
      <c r="B125" s="83" t="s">
        <v>94</v>
      </c>
      <c r="C125" s="76" t="s">
        <v>139</v>
      </c>
      <c r="D125" s="77" t="s">
        <v>138</v>
      </c>
      <c r="E125" s="89" t="s">
        <v>95</v>
      </c>
      <c r="F125" s="82">
        <f>71.69+9+1.86</f>
        <v>82.55</v>
      </c>
      <c r="G125" s="357" t="s">
        <v>529</v>
      </c>
      <c r="H125" s="358"/>
      <c r="I125" s="359"/>
    </row>
    <row r="126" spans="1:9" x14ac:dyDescent="0.2">
      <c r="A126" s="288"/>
      <c r="B126" s="289"/>
      <c r="C126" s="289"/>
      <c r="D126" s="289"/>
      <c r="E126" s="289"/>
      <c r="F126" s="289"/>
      <c r="G126" s="289"/>
      <c r="H126" s="289"/>
      <c r="I126" s="290"/>
    </row>
    <row r="127" spans="1:9" ht="15" x14ac:dyDescent="0.2">
      <c r="A127" s="106" t="s">
        <v>159</v>
      </c>
      <c r="B127" s="272"/>
      <c r="C127" s="273"/>
      <c r="D127" s="112" t="s">
        <v>86</v>
      </c>
      <c r="E127" s="108"/>
      <c r="F127" s="140"/>
      <c r="G127" s="109"/>
      <c r="H127" s="110"/>
      <c r="I127" s="98"/>
    </row>
    <row r="128" spans="1:9" ht="25.5" x14ac:dyDescent="0.2">
      <c r="A128" s="94" t="s">
        <v>160</v>
      </c>
      <c r="B128" s="83" t="s">
        <v>97</v>
      </c>
      <c r="C128" s="76">
        <v>88489</v>
      </c>
      <c r="D128" s="77" t="s">
        <v>102</v>
      </c>
      <c r="E128" s="78" t="s">
        <v>95</v>
      </c>
      <c r="F128" s="82">
        <f>F116</f>
        <v>733.84</v>
      </c>
      <c r="G128" s="357" t="s">
        <v>530</v>
      </c>
      <c r="H128" s="358"/>
      <c r="I128" s="359"/>
    </row>
    <row r="129" spans="1:9" ht="25.5" x14ac:dyDescent="0.2">
      <c r="A129" s="94" t="s">
        <v>161</v>
      </c>
      <c r="B129" s="83" t="s">
        <v>94</v>
      </c>
      <c r="C129" s="76" t="s">
        <v>111</v>
      </c>
      <c r="D129" s="77" t="s">
        <v>112</v>
      </c>
      <c r="E129" s="91" t="s">
        <v>95</v>
      </c>
      <c r="F129" s="82">
        <f>0.6*2.1</f>
        <v>1.26</v>
      </c>
      <c r="G129" s="357" t="s">
        <v>531</v>
      </c>
      <c r="H129" s="358"/>
      <c r="I129" s="359"/>
    </row>
    <row r="130" spans="1:9" ht="25.5" x14ac:dyDescent="0.2">
      <c r="A130" s="94" t="s">
        <v>162</v>
      </c>
      <c r="B130" s="83" t="s">
        <v>94</v>
      </c>
      <c r="C130" s="76" t="s">
        <v>127</v>
      </c>
      <c r="D130" s="77" t="s">
        <v>126</v>
      </c>
      <c r="E130" s="78" t="s">
        <v>95</v>
      </c>
      <c r="F130" s="82">
        <v>50</v>
      </c>
      <c r="G130" s="357" t="s">
        <v>532</v>
      </c>
      <c r="H130" s="358"/>
      <c r="I130" s="359"/>
    </row>
    <row r="131" spans="1:9" x14ac:dyDescent="0.2">
      <c r="A131" s="288"/>
      <c r="B131" s="289"/>
      <c r="C131" s="289"/>
      <c r="D131" s="289"/>
      <c r="E131" s="289"/>
      <c r="F131" s="289"/>
      <c r="G131" s="289"/>
      <c r="H131" s="289"/>
      <c r="I131" s="290"/>
    </row>
    <row r="132" spans="1:9" ht="15" x14ac:dyDescent="0.2">
      <c r="A132" s="106" t="s">
        <v>163</v>
      </c>
      <c r="B132" s="107"/>
      <c r="C132" s="84"/>
      <c r="D132" s="112" t="s">
        <v>250</v>
      </c>
      <c r="E132" s="108"/>
      <c r="F132" s="140"/>
      <c r="G132" s="109"/>
      <c r="H132" s="110"/>
      <c r="I132" s="98"/>
    </row>
    <row r="133" spans="1:9" ht="63.75" x14ac:dyDescent="0.2">
      <c r="A133" s="94" t="s">
        <v>164</v>
      </c>
      <c r="B133" s="83" t="s">
        <v>94</v>
      </c>
      <c r="C133" s="91" t="s">
        <v>252</v>
      </c>
      <c r="D133" s="90" t="s">
        <v>251</v>
      </c>
      <c r="E133" s="78" t="s">
        <v>203</v>
      </c>
      <c r="F133" s="82">
        <f>11+9+1+2+2</f>
        <v>25</v>
      </c>
      <c r="G133" s="357" t="s">
        <v>533</v>
      </c>
      <c r="H133" s="358"/>
      <c r="I133" s="359"/>
    </row>
    <row r="134" spans="1:9" x14ac:dyDescent="0.2">
      <c r="A134" s="288"/>
      <c r="B134" s="289"/>
      <c r="C134" s="289"/>
      <c r="D134" s="289"/>
      <c r="E134" s="289"/>
      <c r="F134" s="289"/>
      <c r="G134" s="289"/>
      <c r="H134" s="289"/>
      <c r="I134" s="290"/>
    </row>
    <row r="135" spans="1:9" ht="15" x14ac:dyDescent="0.2">
      <c r="A135" s="106" t="s">
        <v>337</v>
      </c>
      <c r="B135" s="107"/>
      <c r="C135" s="84"/>
      <c r="D135" s="112" t="s">
        <v>157</v>
      </c>
      <c r="E135" s="108"/>
      <c r="F135" s="140"/>
      <c r="G135" s="109"/>
      <c r="H135" s="110"/>
      <c r="I135" s="98"/>
    </row>
    <row r="136" spans="1:9" ht="63.75" x14ac:dyDescent="0.2">
      <c r="A136" s="94" t="s">
        <v>338</v>
      </c>
      <c r="B136" s="83" t="s">
        <v>94</v>
      </c>
      <c r="C136" s="91" t="s">
        <v>246</v>
      </c>
      <c r="D136" s="90" t="s">
        <v>245</v>
      </c>
      <c r="E136" s="78" t="s">
        <v>203</v>
      </c>
      <c r="F136" s="82">
        <v>7</v>
      </c>
      <c r="G136" s="357" t="s">
        <v>533</v>
      </c>
      <c r="H136" s="358"/>
      <c r="I136" s="359"/>
    </row>
    <row r="137" spans="1:9" ht="76.5" x14ac:dyDescent="0.2">
      <c r="A137" s="94" t="s">
        <v>339</v>
      </c>
      <c r="B137" s="83" t="s">
        <v>94</v>
      </c>
      <c r="C137" s="91" t="s">
        <v>248</v>
      </c>
      <c r="D137" s="90" t="s">
        <v>247</v>
      </c>
      <c r="E137" s="78" t="s">
        <v>203</v>
      </c>
      <c r="F137" s="82">
        <f>9+6+2+2+2</f>
        <v>21</v>
      </c>
      <c r="G137" s="357" t="s">
        <v>534</v>
      </c>
      <c r="H137" s="358"/>
      <c r="I137" s="359"/>
    </row>
    <row r="138" spans="1:9" x14ac:dyDescent="0.2">
      <c r="A138" s="288"/>
      <c r="B138" s="289"/>
      <c r="C138" s="289"/>
      <c r="D138" s="289"/>
      <c r="E138" s="289"/>
      <c r="F138" s="289"/>
      <c r="G138" s="289"/>
      <c r="H138" s="289"/>
      <c r="I138" s="290"/>
    </row>
    <row r="139" spans="1:9" ht="15" x14ac:dyDescent="0.2">
      <c r="A139" s="106" t="s">
        <v>340</v>
      </c>
      <c r="B139" s="272"/>
      <c r="C139" s="273"/>
      <c r="D139" s="112" t="s">
        <v>158</v>
      </c>
      <c r="E139" s="108"/>
      <c r="F139" s="140"/>
      <c r="G139" s="109"/>
      <c r="H139" s="110"/>
      <c r="I139" s="98"/>
    </row>
    <row r="140" spans="1:9" ht="52.9" customHeight="1" x14ac:dyDescent="0.2">
      <c r="A140" s="94" t="s">
        <v>341</v>
      </c>
      <c r="B140" s="83" t="s">
        <v>94</v>
      </c>
      <c r="C140" s="91" t="s">
        <v>144</v>
      </c>
      <c r="D140" s="90" t="s">
        <v>145</v>
      </c>
      <c r="E140" s="78" t="s">
        <v>115</v>
      </c>
      <c r="F140" s="82">
        <v>7</v>
      </c>
      <c r="G140" s="357" t="s">
        <v>535</v>
      </c>
      <c r="H140" s="358"/>
      <c r="I140" s="359"/>
    </row>
    <row r="141" spans="1:9" ht="51" x14ac:dyDescent="0.2">
      <c r="A141" s="94" t="s">
        <v>342</v>
      </c>
      <c r="B141" s="83" t="s">
        <v>94</v>
      </c>
      <c r="C141" s="91" t="s">
        <v>265</v>
      </c>
      <c r="D141" s="90" t="s">
        <v>264</v>
      </c>
      <c r="E141" s="78" t="s">
        <v>115</v>
      </c>
      <c r="F141" s="82">
        <v>9</v>
      </c>
      <c r="G141" s="357" t="s">
        <v>536</v>
      </c>
      <c r="H141" s="358"/>
      <c r="I141" s="359"/>
    </row>
    <row r="142" spans="1:9" x14ac:dyDescent="0.2">
      <c r="A142" s="94" t="s">
        <v>343</v>
      </c>
      <c r="B142" s="270" t="s">
        <v>191</v>
      </c>
      <c r="C142" s="271"/>
      <c r="D142" s="90" t="s">
        <v>214</v>
      </c>
      <c r="E142" s="78" t="s">
        <v>115</v>
      </c>
      <c r="F142" s="82">
        <f>F141</f>
        <v>9</v>
      </c>
      <c r="G142" s="357" t="s">
        <v>537</v>
      </c>
      <c r="H142" s="358"/>
      <c r="I142" s="359"/>
    </row>
    <row r="143" spans="1:9" ht="51" x14ac:dyDescent="0.2">
      <c r="A143" s="94" t="s">
        <v>344</v>
      </c>
      <c r="B143" s="83" t="s">
        <v>94</v>
      </c>
      <c r="C143" s="261" t="s">
        <v>379</v>
      </c>
      <c r="D143" s="90" t="s">
        <v>378</v>
      </c>
      <c r="E143" s="78" t="s">
        <v>115</v>
      </c>
      <c r="F143" s="82">
        <v>1</v>
      </c>
      <c r="G143" s="357" t="s">
        <v>493</v>
      </c>
      <c r="H143" s="358"/>
      <c r="I143" s="359"/>
    </row>
    <row r="144" spans="1:9" ht="25.5" x14ac:dyDescent="0.2">
      <c r="A144" s="94" t="s">
        <v>345</v>
      </c>
      <c r="B144" s="83" t="s">
        <v>94</v>
      </c>
      <c r="C144" s="261" t="s">
        <v>377</v>
      </c>
      <c r="D144" s="90" t="s">
        <v>376</v>
      </c>
      <c r="E144" s="78" t="s">
        <v>115</v>
      </c>
      <c r="F144" s="82">
        <v>2</v>
      </c>
      <c r="G144" s="357" t="s">
        <v>538</v>
      </c>
      <c r="H144" s="358"/>
      <c r="I144" s="359"/>
    </row>
    <row r="145" spans="1:9" ht="38.25" x14ac:dyDescent="0.2">
      <c r="A145" s="94" t="s">
        <v>346</v>
      </c>
      <c r="B145" s="83" t="s">
        <v>94</v>
      </c>
      <c r="C145" s="91" t="s">
        <v>146</v>
      </c>
      <c r="D145" s="90" t="s">
        <v>147</v>
      </c>
      <c r="E145" s="78" t="s">
        <v>115</v>
      </c>
      <c r="F145" s="82">
        <v>5</v>
      </c>
      <c r="G145" s="357" t="s">
        <v>540</v>
      </c>
      <c r="H145" s="358"/>
      <c r="I145" s="359"/>
    </row>
    <row r="146" spans="1:9" ht="25.5" x14ac:dyDescent="0.2">
      <c r="A146" s="94" t="s">
        <v>347</v>
      </c>
      <c r="B146" s="83" t="s">
        <v>94</v>
      </c>
      <c r="C146" s="91" t="s">
        <v>267</v>
      </c>
      <c r="D146" s="90" t="s">
        <v>266</v>
      </c>
      <c r="E146" s="78" t="s">
        <v>115</v>
      </c>
      <c r="F146" s="82">
        <v>2</v>
      </c>
      <c r="G146" s="357" t="s">
        <v>539</v>
      </c>
      <c r="H146" s="358"/>
      <c r="I146" s="359"/>
    </row>
    <row r="147" spans="1:9" ht="35.450000000000003" customHeight="1" x14ac:dyDescent="0.2">
      <c r="A147" s="94" t="s">
        <v>348</v>
      </c>
      <c r="B147" s="83" t="s">
        <v>94</v>
      </c>
      <c r="C147" s="91" t="s">
        <v>149</v>
      </c>
      <c r="D147" s="90" t="s">
        <v>148</v>
      </c>
      <c r="E147" s="78" t="s">
        <v>115</v>
      </c>
      <c r="F147" s="82">
        <v>7</v>
      </c>
      <c r="G147" s="357" t="s">
        <v>535</v>
      </c>
      <c r="H147" s="358"/>
      <c r="I147" s="359"/>
    </row>
    <row r="148" spans="1:9" ht="52.9" customHeight="1" x14ac:dyDescent="0.2">
      <c r="A148" s="94" t="s">
        <v>349</v>
      </c>
      <c r="B148" s="83" t="s">
        <v>94</v>
      </c>
      <c r="C148" s="91" t="s">
        <v>272</v>
      </c>
      <c r="D148" s="90" t="s">
        <v>286</v>
      </c>
      <c r="E148" s="78" t="s">
        <v>115</v>
      </c>
      <c r="F148" s="82">
        <v>2</v>
      </c>
      <c r="G148" s="357" t="s">
        <v>541</v>
      </c>
      <c r="H148" s="358"/>
      <c r="I148" s="359"/>
    </row>
    <row r="149" spans="1:9" ht="63.75" x14ac:dyDescent="0.2">
      <c r="A149" s="94" t="s">
        <v>380</v>
      </c>
      <c r="B149" s="83" t="s">
        <v>94</v>
      </c>
      <c r="C149" s="91" t="s">
        <v>274</v>
      </c>
      <c r="D149" s="90" t="s">
        <v>273</v>
      </c>
      <c r="E149" s="78" t="s">
        <v>115</v>
      </c>
      <c r="F149" s="82">
        <v>4</v>
      </c>
      <c r="G149" s="357" t="s">
        <v>541</v>
      </c>
      <c r="H149" s="358"/>
      <c r="I149" s="359"/>
    </row>
    <row r="150" spans="1:9" ht="51" x14ac:dyDescent="0.2">
      <c r="A150" s="267" t="str">
        <f>PLANILHA!B150</f>
        <v>14.11</v>
      </c>
      <c r="B150" s="90" t="str">
        <f>PLANILHA!C150</f>
        <v>SEINFRA</v>
      </c>
      <c r="C150" s="90" t="str">
        <f>PLANILHA!D150</f>
        <v>ED-48167</v>
      </c>
      <c r="D150" s="90" t="str">
        <f>PLANILHA!E150</f>
        <v>BARRA DE APOIO EM AÇO INOX POLIDO PARA LAVATÓRIO DE
CANTO, DN 1.1/4" (31,75MM), PARA ACESSIBILIDADE (PMR/PCR),
INSTALADO EM PAREDE, INCLUSIVE FORNECIMENTO,
INSTALAÇÃO E ACESSÓRIOS PARA FIXAÇÃO</v>
      </c>
      <c r="E150" s="78" t="s">
        <v>115</v>
      </c>
      <c r="F150" s="82">
        <v>4</v>
      </c>
      <c r="G150" s="357" t="s">
        <v>541</v>
      </c>
      <c r="H150" s="358"/>
      <c r="I150" s="359"/>
    </row>
    <row r="151" spans="1:9" ht="89.25" x14ac:dyDescent="0.2">
      <c r="A151" s="267" t="str">
        <f>PLANILHA!B151</f>
        <v>14.12</v>
      </c>
      <c r="B151" s="83" t="s">
        <v>94</v>
      </c>
      <c r="C151" s="91" t="s">
        <v>383</v>
      </c>
      <c r="D151" s="90" t="s">
        <v>382</v>
      </c>
      <c r="E151" s="78" t="s">
        <v>115</v>
      </c>
      <c r="F151" s="82">
        <v>2</v>
      </c>
      <c r="G151" s="357" t="s">
        <v>542</v>
      </c>
      <c r="H151" s="358"/>
      <c r="I151" s="359"/>
    </row>
    <row r="152" spans="1:9" ht="89.25" x14ac:dyDescent="0.2">
      <c r="A152" s="267" t="str">
        <f>PLANILHA!B152</f>
        <v>14.13</v>
      </c>
      <c r="B152" s="83" t="s">
        <v>94</v>
      </c>
      <c r="C152" s="91" t="s">
        <v>383</v>
      </c>
      <c r="D152" s="90" t="s">
        <v>382</v>
      </c>
      <c r="E152" s="78" t="s">
        <v>115</v>
      </c>
      <c r="F152" s="82">
        <v>2</v>
      </c>
      <c r="G152" s="357" t="s">
        <v>577</v>
      </c>
      <c r="H152" s="358"/>
      <c r="I152" s="359"/>
    </row>
    <row r="153" spans="1:9" x14ac:dyDescent="0.2">
      <c r="A153" s="288"/>
      <c r="B153" s="289"/>
      <c r="C153" s="289"/>
      <c r="D153" s="289"/>
      <c r="E153" s="289"/>
      <c r="F153" s="289"/>
      <c r="G153" s="289"/>
      <c r="H153" s="289"/>
      <c r="I153" s="290"/>
    </row>
    <row r="154" spans="1:9" ht="15" x14ac:dyDescent="0.2">
      <c r="A154" s="106" t="s">
        <v>350</v>
      </c>
      <c r="B154" s="272"/>
      <c r="C154" s="273"/>
      <c r="D154" s="112" t="s">
        <v>359</v>
      </c>
      <c r="E154" s="108"/>
      <c r="F154" s="140"/>
      <c r="G154" s="109"/>
      <c r="H154" s="110"/>
      <c r="I154" s="98"/>
    </row>
    <row r="155" spans="1:9" ht="25.5" x14ac:dyDescent="0.2">
      <c r="A155" s="94" t="s">
        <v>351</v>
      </c>
      <c r="B155" s="83" t="s">
        <v>94</v>
      </c>
      <c r="C155" s="91" t="s">
        <v>336</v>
      </c>
      <c r="D155" s="162" t="s">
        <v>356</v>
      </c>
      <c r="E155" s="164" t="s">
        <v>95</v>
      </c>
      <c r="F155" s="82">
        <f>1.36*3</f>
        <v>4.08</v>
      </c>
      <c r="G155" s="357" t="s">
        <v>543</v>
      </c>
      <c r="H155" s="358"/>
      <c r="I155" s="359"/>
    </row>
    <row r="156" spans="1:9" ht="63.75" x14ac:dyDescent="0.2">
      <c r="A156" s="94" t="s">
        <v>352</v>
      </c>
      <c r="B156" s="83" t="s">
        <v>94</v>
      </c>
      <c r="C156" s="173" t="s">
        <v>375</v>
      </c>
      <c r="D156" s="162" t="s">
        <v>374</v>
      </c>
      <c r="E156" s="164" t="s">
        <v>95</v>
      </c>
      <c r="F156" s="82">
        <f>((1.86*0.65)*2)+(0.53*3.14)+(0.45*0.6)</f>
        <v>4.3499999999999996</v>
      </c>
      <c r="G156" s="357" t="s">
        <v>544</v>
      </c>
      <c r="H156" s="358"/>
      <c r="I156" s="359"/>
    </row>
    <row r="157" spans="1:9" ht="25.5" x14ac:dyDescent="0.2">
      <c r="A157" s="94" t="s">
        <v>353</v>
      </c>
      <c r="B157" s="83" t="s">
        <v>94</v>
      </c>
      <c r="C157" s="173" t="s">
        <v>365</v>
      </c>
      <c r="D157" s="162" t="s">
        <v>546</v>
      </c>
      <c r="E157" s="164" t="s">
        <v>95</v>
      </c>
      <c r="F157" s="82">
        <f>(1.54*2*4)+((1.03+0.775+0.775)*2)</f>
        <v>17.48</v>
      </c>
      <c r="G157" s="357" t="s">
        <v>545</v>
      </c>
      <c r="H157" s="358"/>
      <c r="I157" s="359"/>
    </row>
    <row r="158" spans="1:9" ht="25.5" x14ac:dyDescent="0.2">
      <c r="A158" s="94" t="s">
        <v>354</v>
      </c>
      <c r="B158" s="83" t="s">
        <v>94</v>
      </c>
      <c r="C158" s="173" t="s">
        <v>360</v>
      </c>
      <c r="D158" s="162" t="s">
        <v>362</v>
      </c>
      <c r="E158" s="164" t="s">
        <v>95</v>
      </c>
      <c r="F158" s="82">
        <f>0.8*0.15*8</f>
        <v>0.96</v>
      </c>
      <c r="G158" s="357" t="s">
        <v>547</v>
      </c>
      <c r="H158" s="358"/>
      <c r="I158" s="359"/>
    </row>
    <row r="159" spans="1:9" ht="25.5" x14ac:dyDescent="0.2">
      <c r="A159" s="94" t="s">
        <v>355</v>
      </c>
      <c r="B159" s="83" t="s">
        <v>94</v>
      </c>
      <c r="C159" s="173" t="s">
        <v>361</v>
      </c>
      <c r="D159" s="162" t="s">
        <v>363</v>
      </c>
      <c r="E159" s="164" t="s">
        <v>95</v>
      </c>
      <c r="F159" s="82">
        <f>(0.2*2*18)+(0.2*1.5*4)+(0.2*1*4)+(0.2*0.5)+(0.2*1.2)</f>
        <v>9.5399999999999991</v>
      </c>
      <c r="G159" s="357" t="s">
        <v>548</v>
      </c>
      <c r="H159" s="358"/>
      <c r="I159" s="359"/>
    </row>
    <row r="160" spans="1:9" x14ac:dyDescent="0.2">
      <c r="A160" s="288"/>
      <c r="B160" s="289"/>
      <c r="C160" s="289"/>
      <c r="D160" s="289"/>
      <c r="E160" s="289"/>
      <c r="F160" s="289"/>
      <c r="G160" s="289"/>
      <c r="H160" s="289"/>
      <c r="I160" s="290"/>
    </row>
    <row r="161" spans="1:9" ht="15" x14ac:dyDescent="0.2">
      <c r="A161" s="106" t="s">
        <v>357</v>
      </c>
      <c r="B161" s="272"/>
      <c r="C161" s="273"/>
      <c r="D161" s="112" t="s">
        <v>125</v>
      </c>
      <c r="E161" s="108"/>
      <c r="F161" s="140"/>
      <c r="G161" s="109"/>
      <c r="H161" s="110"/>
      <c r="I161" s="98"/>
    </row>
    <row r="162" spans="1:9" x14ac:dyDescent="0.2">
      <c r="A162" s="94" t="s">
        <v>358</v>
      </c>
      <c r="B162" s="270" t="s">
        <v>191</v>
      </c>
      <c r="C162" s="271"/>
      <c r="D162" s="190" t="s">
        <v>401</v>
      </c>
      <c r="E162" s="78" t="s">
        <v>115</v>
      </c>
      <c r="F162" s="82">
        <v>1</v>
      </c>
      <c r="G162" s="368" t="s">
        <v>549</v>
      </c>
      <c r="H162" s="369"/>
      <c r="I162" s="370"/>
    </row>
    <row r="163" spans="1:9" x14ac:dyDescent="0.2">
      <c r="A163" s="94" t="s">
        <v>366</v>
      </c>
      <c r="B163" s="270" t="s">
        <v>191</v>
      </c>
      <c r="C163" s="271"/>
      <c r="D163" s="191" t="s">
        <v>402</v>
      </c>
      <c r="E163" s="78" t="s">
        <v>99</v>
      </c>
      <c r="F163" s="82">
        <v>5</v>
      </c>
      <c r="G163" s="368" t="s">
        <v>550</v>
      </c>
      <c r="H163" s="369"/>
      <c r="I163" s="370"/>
    </row>
    <row r="164" spans="1:9" x14ac:dyDescent="0.2">
      <c r="A164" s="94" t="s">
        <v>367</v>
      </c>
      <c r="B164" s="270" t="s">
        <v>191</v>
      </c>
      <c r="C164" s="271"/>
      <c r="D164" s="191" t="s">
        <v>403</v>
      </c>
      <c r="E164" s="78" t="s">
        <v>115</v>
      </c>
      <c r="F164" s="82">
        <v>1</v>
      </c>
      <c r="G164" s="368" t="s">
        <v>549</v>
      </c>
      <c r="H164" s="369"/>
      <c r="I164" s="370"/>
    </row>
    <row r="165" spans="1:9" x14ac:dyDescent="0.2">
      <c r="A165" s="94" t="s">
        <v>368</v>
      </c>
      <c r="B165" s="270" t="s">
        <v>191</v>
      </c>
      <c r="C165" s="271"/>
      <c r="D165" s="192" t="s">
        <v>406</v>
      </c>
      <c r="E165" s="78" t="s">
        <v>115</v>
      </c>
      <c r="F165" s="82">
        <v>1</v>
      </c>
      <c r="G165" s="368" t="s">
        <v>551</v>
      </c>
      <c r="H165" s="369"/>
      <c r="I165" s="370"/>
    </row>
    <row r="166" spans="1:9" ht="25.5" x14ac:dyDescent="0.2">
      <c r="A166" s="94" t="s">
        <v>369</v>
      </c>
      <c r="B166" s="270" t="s">
        <v>191</v>
      </c>
      <c r="C166" s="271"/>
      <c r="D166" s="192" t="s">
        <v>407</v>
      </c>
      <c r="E166" s="78" t="s">
        <v>115</v>
      </c>
      <c r="F166" s="82">
        <v>1</v>
      </c>
      <c r="G166" s="368" t="s">
        <v>493</v>
      </c>
      <c r="H166" s="369"/>
      <c r="I166" s="370"/>
    </row>
    <row r="167" spans="1:9" ht="51" x14ac:dyDescent="0.2">
      <c r="A167" s="94" t="s">
        <v>369</v>
      </c>
      <c r="B167" s="83" t="s">
        <v>94</v>
      </c>
      <c r="C167" s="167" t="s">
        <v>373</v>
      </c>
      <c r="D167" s="162" t="s">
        <v>372</v>
      </c>
      <c r="E167" s="78" t="s">
        <v>115</v>
      </c>
      <c r="F167" s="82">
        <v>2</v>
      </c>
      <c r="G167" s="368" t="s">
        <v>552</v>
      </c>
      <c r="H167" s="369"/>
      <c r="I167" s="370"/>
    </row>
    <row r="168" spans="1:9" ht="76.5" x14ac:dyDescent="0.2">
      <c r="A168" s="94" t="s">
        <v>393</v>
      </c>
      <c r="B168" s="83" t="s">
        <v>94</v>
      </c>
      <c r="C168" s="91" t="s">
        <v>263</v>
      </c>
      <c r="D168" s="162" t="s">
        <v>262</v>
      </c>
      <c r="E168" s="78" t="s">
        <v>115</v>
      </c>
      <c r="F168" s="82">
        <v>1</v>
      </c>
      <c r="G168" s="368" t="s">
        <v>493</v>
      </c>
      <c r="H168" s="369"/>
      <c r="I168" s="370"/>
    </row>
    <row r="169" spans="1:9" ht="63.75" x14ac:dyDescent="0.2">
      <c r="A169" s="94" t="s">
        <v>404</v>
      </c>
      <c r="B169" s="83" t="s">
        <v>94</v>
      </c>
      <c r="C169" s="91" t="s">
        <v>392</v>
      </c>
      <c r="D169" s="90" t="s">
        <v>391</v>
      </c>
      <c r="E169" s="78" t="s">
        <v>95</v>
      </c>
      <c r="F169" s="82">
        <f>30.78*2</f>
        <v>61.56</v>
      </c>
      <c r="G169" s="368" t="s">
        <v>553</v>
      </c>
      <c r="H169" s="369"/>
      <c r="I169" s="370"/>
    </row>
    <row r="170" spans="1:9" ht="25.5" x14ac:dyDescent="0.2">
      <c r="A170" s="94" t="s">
        <v>405</v>
      </c>
      <c r="B170" s="83" t="s">
        <v>94</v>
      </c>
      <c r="C170" s="91" t="s">
        <v>151</v>
      </c>
      <c r="D170" s="90" t="s">
        <v>150</v>
      </c>
      <c r="E170" s="78" t="s">
        <v>115</v>
      </c>
      <c r="F170" s="82">
        <v>6</v>
      </c>
      <c r="G170" s="368" t="s">
        <v>554</v>
      </c>
      <c r="H170" s="369"/>
      <c r="I170" s="370"/>
    </row>
    <row r="171" spans="1:9" ht="13.5" thickBot="1" x14ac:dyDescent="0.25">
      <c r="A171" s="288"/>
      <c r="B171" s="289"/>
      <c r="C171" s="289"/>
      <c r="D171" s="289"/>
      <c r="E171" s="289"/>
      <c r="F171" s="289"/>
      <c r="G171" s="289"/>
      <c r="H171" s="289"/>
      <c r="I171" s="290"/>
    </row>
    <row r="172" spans="1:9" x14ac:dyDescent="0.2">
      <c r="A172" s="29"/>
      <c r="B172" s="30"/>
      <c r="C172" s="30"/>
      <c r="D172" s="30"/>
      <c r="E172" s="30"/>
      <c r="F172" s="142"/>
      <c r="G172" s="30"/>
      <c r="H172" s="30"/>
      <c r="I172" s="31"/>
    </row>
    <row r="173" spans="1:9" ht="15.75" x14ac:dyDescent="0.25">
      <c r="A173" s="14"/>
      <c r="B173" s="13"/>
      <c r="C173" s="13"/>
      <c r="D173" s="287" t="s">
        <v>417</v>
      </c>
      <c r="E173" s="287"/>
      <c r="F173" s="143"/>
      <c r="G173" s="13"/>
      <c r="H173" s="13"/>
      <c r="I173" s="18"/>
    </row>
    <row r="174" spans="1:9" x14ac:dyDescent="0.2">
      <c r="A174" s="14"/>
      <c r="B174" s="13"/>
      <c r="C174" s="13"/>
      <c r="D174" s="13"/>
      <c r="E174" s="13"/>
      <c r="F174" s="143"/>
      <c r="G174" s="13"/>
      <c r="H174" s="13"/>
      <c r="I174" s="18"/>
    </row>
    <row r="175" spans="1:9" x14ac:dyDescent="0.2">
      <c r="A175" s="14"/>
      <c r="B175" s="13"/>
      <c r="C175" s="13"/>
      <c r="D175" s="13"/>
      <c r="E175" s="13"/>
      <c r="F175" s="143"/>
      <c r="G175" s="13"/>
      <c r="H175" s="13"/>
      <c r="I175" s="18"/>
    </row>
    <row r="176" spans="1:9" x14ac:dyDescent="0.2">
      <c r="A176" s="14"/>
      <c r="B176" s="13"/>
      <c r="C176" s="12"/>
      <c r="D176" s="283"/>
      <c r="E176" s="283"/>
      <c r="F176" s="143"/>
      <c r="G176" s="12"/>
      <c r="H176" s="12"/>
      <c r="I176" s="32"/>
    </row>
    <row r="177" spans="1:9" x14ac:dyDescent="0.2">
      <c r="A177" s="11"/>
      <c r="B177" s="61"/>
      <c r="C177" s="294"/>
      <c r="D177" s="294"/>
      <c r="E177" s="10"/>
      <c r="F177" s="294"/>
      <c r="G177" s="294"/>
      <c r="H177" s="28"/>
      <c r="I177" s="18"/>
    </row>
    <row r="178" spans="1:9" x14ac:dyDescent="0.2">
      <c r="A178" s="11"/>
      <c r="B178" s="61"/>
      <c r="C178" s="262"/>
      <c r="D178" s="284" t="s">
        <v>71</v>
      </c>
      <c r="E178" s="284"/>
      <c r="F178" s="262"/>
      <c r="G178" s="262"/>
      <c r="H178" s="28"/>
      <c r="I178" s="18"/>
    </row>
    <row r="179" spans="1:9" x14ac:dyDescent="0.2">
      <c r="A179" s="11"/>
      <c r="B179" s="61"/>
      <c r="C179" s="262"/>
      <c r="D179" s="285" t="s">
        <v>72</v>
      </c>
      <c r="E179" s="285"/>
      <c r="F179" s="262"/>
      <c r="G179" s="262"/>
      <c r="H179" s="28"/>
      <c r="I179" s="18"/>
    </row>
    <row r="180" spans="1:9" x14ac:dyDescent="0.2">
      <c r="A180" s="11"/>
      <c r="B180" s="61"/>
      <c r="C180" s="262"/>
      <c r="D180" s="286" t="s">
        <v>123</v>
      </c>
      <c r="E180" s="286"/>
      <c r="F180" s="262"/>
      <c r="G180" s="262"/>
      <c r="H180" s="28"/>
      <c r="I180" s="18"/>
    </row>
    <row r="181" spans="1:9" x14ac:dyDescent="0.2">
      <c r="A181" s="11"/>
      <c r="B181" s="61"/>
      <c r="C181" s="262"/>
      <c r="D181" s="262"/>
      <c r="E181" s="10"/>
      <c r="F181" s="262"/>
      <c r="G181" s="262"/>
      <c r="H181" s="28"/>
      <c r="I181" s="18"/>
    </row>
    <row r="182" spans="1:9" ht="13.5" thickBot="1" x14ac:dyDescent="0.25">
      <c r="A182" s="133"/>
      <c r="B182" s="134"/>
      <c r="C182" s="295"/>
      <c r="D182" s="295"/>
      <c r="E182" s="135"/>
      <c r="F182" s="144"/>
      <c r="G182" s="136"/>
      <c r="H182" s="6"/>
      <c r="I182" s="19"/>
    </row>
  </sheetData>
  <mergeCells count="192">
    <mergeCell ref="G23:I23"/>
    <mergeCell ref="G152:I152"/>
    <mergeCell ref="G158:I158"/>
    <mergeCell ref="G159:I159"/>
    <mergeCell ref="G162:I162"/>
    <mergeCell ref="G62:I62"/>
    <mergeCell ref="G122:I122"/>
    <mergeCell ref="G148:I148"/>
    <mergeCell ref="G149:I149"/>
    <mergeCell ref="G151:I151"/>
    <mergeCell ref="G155:I155"/>
    <mergeCell ref="G156:I156"/>
    <mergeCell ref="G157:I157"/>
    <mergeCell ref="G143:I143"/>
    <mergeCell ref="G144:I144"/>
    <mergeCell ref="G145:I145"/>
    <mergeCell ref="G146:I146"/>
    <mergeCell ref="G147:I147"/>
    <mergeCell ref="G125:I125"/>
    <mergeCell ref="G128:I128"/>
    <mergeCell ref="G129:I129"/>
    <mergeCell ref="G130:I130"/>
    <mergeCell ref="G133:I133"/>
    <mergeCell ref="G136:I136"/>
    <mergeCell ref="G150:I150"/>
    <mergeCell ref="G137:I137"/>
    <mergeCell ref="G54:I54"/>
    <mergeCell ref="G56:I56"/>
    <mergeCell ref="G57:I57"/>
    <mergeCell ref="G58:I58"/>
    <mergeCell ref="G59:I59"/>
    <mergeCell ref="G61:I61"/>
    <mergeCell ref="G90:I90"/>
    <mergeCell ref="G91:I91"/>
    <mergeCell ref="G92:I92"/>
    <mergeCell ref="G82:I82"/>
    <mergeCell ref="G83:I83"/>
    <mergeCell ref="G86:I86"/>
    <mergeCell ref="G87:I87"/>
    <mergeCell ref="G88:I88"/>
    <mergeCell ref="G89:I89"/>
    <mergeCell ref="G140:I140"/>
    <mergeCell ref="G141:I141"/>
    <mergeCell ref="G142:I142"/>
    <mergeCell ref="G47:I47"/>
    <mergeCell ref="G49:I49"/>
    <mergeCell ref="G50:I50"/>
    <mergeCell ref="G51:I51"/>
    <mergeCell ref="G53:I53"/>
    <mergeCell ref="G37:I37"/>
    <mergeCell ref="G38:I38"/>
    <mergeCell ref="G42:I42"/>
    <mergeCell ref="G43:I43"/>
    <mergeCell ref="G44:I44"/>
    <mergeCell ref="G45:I45"/>
    <mergeCell ref="A15:I16"/>
    <mergeCell ref="G18:I18"/>
    <mergeCell ref="G21:I21"/>
    <mergeCell ref="G22:I22"/>
    <mergeCell ref="G26:I26"/>
    <mergeCell ref="C177:D177"/>
    <mergeCell ref="F177:G177"/>
    <mergeCell ref="D178:E178"/>
    <mergeCell ref="D179:E179"/>
    <mergeCell ref="A160:I160"/>
    <mergeCell ref="B161:C161"/>
    <mergeCell ref="B162:C162"/>
    <mergeCell ref="B163:C163"/>
    <mergeCell ref="B164:C164"/>
    <mergeCell ref="B165:C165"/>
    <mergeCell ref="G163:I163"/>
    <mergeCell ref="G164:I164"/>
    <mergeCell ref="G165:I165"/>
    <mergeCell ref="A134:I134"/>
    <mergeCell ref="A138:I138"/>
    <mergeCell ref="B139:C139"/>
    <mergeCell ref="B142:C142"/>
    <mergeCell ref="A153:I153"/>
    <mergeCell ref="B154:C154"/>
    <mergeCell ref="D180:E180"/>
    <mergeCell ref="C182:D182"/>
    <mergeCell ref="B166:C166"/>
    <mergeCell ref="A171:I171"/>
    <mergeCell ref="D173:E173"/>
    <mergeCell ref="D176:E176"/>
    <mergeCell ref="G166:I166"/>
    <mergeCell ref="G167:I167"/>
    <mergeCell ref="G168:I168"/>
    <mergeCell ref="G169:I169"/>
    <mergeCell ref="G170:I170"/>
    <mergeCell ref="B114:C114"/>
    <mergeCell ref="A119:I119"/>
    <mergeCell ref="B120:C120"/>
    <mergeCell ref="A126:I126"/>
    <mergeCell ref="B127:C127"/>
    <mergeCell ref="A131:I131"/>
    <mergeCell ref="G118:I118"/>
    <mergeCell ref="G121:I121"/>
    <mergeCell ref="G123:I123"/>
    <mergeCell ref="G124:I124"/>
    <mergeCell ref="G115:I115"/>
    <mergeCell ref="G116:I116"/>
    <mergeCell ref="G117:I117"/>
    <mergeCell ref="B93:C93"/>
    <mergeCell ref="B94:C94"/>
    <mergeCell ref="B95:C95"/>
    <mergeCell ref="A103:I103"/>
    <mergeCell ref="B104:C104"/>
    <mergeCell ref="A113:I113"/>
    <mergeCell ref="G96:I96"/>
    <mergeCell ref="G97:I97"/>
    <mergeCell ref="G99:I99"/>
    <mergeCell ref="G100:I100"/>
    <mergeCell ref="G93:I93"/>
    <mergeCell ref="G94:I94"/>
    <mergeCell ref="G95:I95"/>
    <mergeCell ref="G109:I109"/>
    <mergeCell ref="G111:I111"/>
    <mergeCell ref="G112:I112"/>
    <mergeCell ref="G101:I101"/>
    <mergeCell ref="G102:I102"/>
    <mergeCell ref="G105:I105"/>
    <mergeCell ref="G106:I106"/>
    <mergeCell ref="G107:I107"/>
    <mergeCell ref="G108:I108"/>
    <mergeCell ref="B87:C87"/>
    <mergeCell ref="B88:C88"/>
    <mergeCell ref="B89:C89"/>
    <mergeCell ref="B90:C90"/>
    <mergeCell ref="B91:C91"/>
    <mergeCell ref="B92:C92"/>
    <mergeCell ref="B71:C71"/>
    <mergeCell ref="B82:C82"/>
    <mergeCell ref="B83:C83"/>
    <mergeCell ref="A84:I84"/>
    <mergeCell ref="B85:C85"/>
    <mergeCell ref="B86:C86"/>
    <mergeCell ref="G77:I77"/>
    <mergeCell ref="G79:I79"/>
    <mergeCell ref="G80:I80"/>
    <mergeCell ref="G81:I81"/>
    <mergeCell ref="G72:I72"/>
    <mergeCell ref="G73:I73"/>
    <mergeCell ref="G74:I74"/>
    <mergeCell ref="G75:I75"/>
    <mergeCell ref="G76:I76"/>
    <mergeCell ref="G78:I78"/>
    <mergeCell ref="B55:C55"/>
    <mergeCell ref="B60:C60"/>
    <mergeCell ref="A63:I63"/>
    <mergeCell ref="B64:C64"/>
    <mergeCell ref="B66:C66"/>
    <mergeCell ref="A70:I70"/>
    <mergeCell ref="G65:I65"/>
    <mergeCell ref="G66:I66"/>
    <mergeCell ref="G67:I67"/>
    <mergeCell ref="G68:I68"/>
    <mergeCell ref="G69:I69"/>
    <mergeCell ref="B30:C30"/>
    <mergeCell ref="B31:C31"/>
    <mergeCell ref="B35:C35"/>
    <mergeCell ref="A39:I39"/>
    <mergeCell ref="B40:C40"/>
    <mergeCell ref="B41:C41"/>
    <mergeCell ref="G32:I32"/>
    <mergeCell ref="G33:I33"/>
    <mergeCell ref="G34:I34"/>
    <mergeCell ref="G36:I36"/>
    <mergeCell ref="A1:I6"/>
    <mergeCell ref="A7:I8"/>
    <mergeCell ref="A9:I9"/>
    <mergeCell ref="A10:I10"/>
    <mergeCell ref="A11:F11"/>
    <mergeCell ref="G11:I11"/>
    <mergeCell ref="G98:I98"/>
    <mergeCell ref="A17:I17"/>
    <mergeCell ref="A19:I19"/>
    <mergeCell ref="B20:C20"/>
    <mergeCell ref="A24:I24"/>
    <mergeCell ref="B25:C25"/>
    <mergeCell ref="A29:I29"/>
    <mergeCell ref="G27:I27"/>
    <mergeCell ref="G28:I28"/>
    <mergeCell ref="A12:F12"/>
    <mergeCell ref="A13:I13"/>
    <mergeCell ref="A14:I14"/>
    <mergeCell ref="B42:C42"/>
    <mergeCell ref="B43:C43"/>
    <mergeCell ref="B44:C44"/>
    <mergeCell ref="B45:C45"/>
    <mergeCell ref="B46:C46"/>
    <mergeCell ref="B48:C48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1"/>
  <sheetViews>
    <sheetView showGridLines="0" showZeros="0" view="pageBreakPreview" topLeftCell="A25" zoomScaleNormal="75" zoomScaleSheetLayoutView="100" workbookViewId="0">
      <selection activeCell="B47" sqref="B47:F47"/>
    </sheetView>
  </sheetViews>
  <sheetFormatPr defaultColWidth="9.140625" defaultRowHeight="12.75" x14ac:dyDescent="0.2"/>
  <cols>
    <col min="1" max="1" width="5.7109375" style="3" customWidth="1"/>
    <col min="2" max="2" width="10.42578125" style="3" customWidth="1"/>
    <col min="3" max="3" width="23.7109375" style="3" customWidth="1"/>
    <col min="4" max="4" width="12.7109375" style="4" customWidth="1"/>
    <col min="5" max="5" width="14.5703125" style="4" customWidth="1"/>
    <col min="6" max="6" width="12.5703125" style="174" customWidth="1"/>
    <col min="7" max="7" width="11.7109375" style="174" customWidth="1"/>
    <col min="8" max="8" width="12.85546875" style="174" customWidth="1"/>
    <col min="9" max="9" width="11.42578125" style="174" customWidth="1"/>
    <col min="10" max="10" width="11.28515625" style="174" customWidth="1"/>
    <col min="11" max="11" width="13" style="174" customWidth="1"/>
    <col min="12" max="12" width="12.5703125" style="174" customWidth="1"/>
    <col min="13" max="13" width="11.7109375" style="174" customWidth="1"/>
    <col min="14" max="14" width="12.85546875" style="3" bestFit="1" customWidth="1"/>
    <col min="15" max="15" width="11.85546875" style="3" bestFit="1" customWidth="1"/>
    <col min="16" max="16384" width="9.140625" style="3"/>
  </cols>
  <sheetData>
    <row r="1" spans="1:14" ht="42" customHeight="1" x14ac:dyDescent="0.2">
      <c r="A1" s="387" t="s">
        <v>555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9"/>
    </row>
    <row r="2" spans="1:14" ht="2.25" customHeight="1" x14ac:dyDescent="0.2">
      <c r="A2" s="390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2"/>
    </row>
    <row r="3" spans="1:14" ht="2.2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2"/>
    </row>
    <row r="4" spans="1:14" ht="15.6" customHeight="1" x14ac:dyDescent="0.2">
      <c r="A4" s="390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2"/>
    </row>
    <row r="5" spans="1:14" ht="45" customHeight="1" thickBot="1" x14ac:dyDescent="0.25">
      <c r="A5" s="393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5"/>
    </row>
    <row r="6" spans="1:14" ht="21" customHeight="1" thickBot="1" x14ac:dyDescent="0.25">
      <c r="A6" s="405" t="s">
        <v>21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7"/>
    </row>
    <row r="7" spans="1:14" ht="34.9" customHeight="1" thickBot="1" x14ac:dyDescent="0.25">
      <c r="A7" s="399" t="str">
        <f>PLANILHA!B11</f>
        <v>CONTRATANTE: PREFEITURA MUNICIPAL DE COUTO DE MAGALHÃES DE MINAS</v>
      </c>
      <c r="B7" s="400"/>
      <c r="C7" s="400"/>
      <c r="D7" s="400"/>
      <c r="E7" s="401"/>
      <c r="F7" s="410" t="s">
        <v>118</v>
      </c>
      <c r="G7" s="410"/>
      <c r="H7" s="408">
        <f>PLANILHA!I172</f>
        <v>618207.42000000004</v>
      </c>
      <c r="I7" s="409"/>
      <c r="J7" s="396" t="str">
        <f>PLANILHA!H12</f>
        <v>DATA: 05/07/2023</v>
      </c>
      <c r="K7" s="397"/>
      <c r="L7" s="397"/>
      <c r="M7" s="398"/>
    </row>
    <row r="8" spans="1:14" ht="30" customHeight="1" thickBot="1" x14ac:dyDescent="0.25">
      <c r="A8" s="399" t="str">
        <f>PLANILHA!B12</f>
        <v>OBRA: CONSTRUÇÃO DE ESPAÇO MULTIUSO CULTURAL</v>
      </c>
      <c r="B8" s="400"/>
      <c r="C8" s="400"/>
      <c r="D8" s="401"/>
      <c r="E8" s="399" t="str">
        <f>PLANILHA!B13</f>
        <v>LOCAL: AVENIDA DIAMANTINA, Nº 1.108, CENTRO, CIDADE DE COUTO DE MAGALHÃES DE MINAS</v>
      </c>
      <c r="F8" s="400"/>
      <c r="G8" s="400"/>
      <c r="H8" s="400"/>
      <c r="I8" s="401"/>
      <c r="J8" s="402" t="str">
        <f>PLANILHA!B15</f>
        <v>PRAZO DE EXECUÇÃO: 8 MESES</v>
      </c>
      <c r="K8" s="403"/>
      <c r="L8" s="403"/>
      <c r="M8" s="404"/>
    </row>
    <row r="9" spans="1:14" ht="36" customHeight="1" x14ac:dyDescent="0.2">
      <c r="A9" s="21" t="s">
        <v>10</v>
      </c>
      <c r="B9" s="381" t="s">
        <v>20</v>
      </c>
      <c r="C9" s="382"/>
      <c r="D9" s="22" t="s">
        <v>19</v>
      </c>
      <c r="E9" s="22" t="s">
        <v>18</v>
      </c>
      <c r="F9" s="177" t="s">
        <v>23</v>
      </c>
      <c r="G9" s="177" t="s">
        <v>24</v>
      </c>
      <c r="H9" s="177" t="s">
        <v>28</v>
      </c>
      <c r="I9" s="177" t="s">
        <v>29</v>
      </c>
      <c r="J9" s="177" t="s">
        <v>384</v>
      </c>
      <c r="K9" s="203" t="s">
        <v>385</v>
      </c>
      <c r="L9" s="203" t="s">
        <v>408</v>
      </c>
      <c r="M9" s="256" t="s">
        <v>409</v>
      </c>
    </row>
    <row r="10" spans="1:14" ht="15" customHeight="1" x14ac:dyDescent="0.2">
      <c r="A10" s="419" t="str">
        <f>PLANILHA!B20</f>
        <v>1.0</v>
      </c>
      <c r="B10" s="383" t="str">
        <f>PLANILHA!E20</f>
        <v>SERVIÇOS PRELIMINARES</v>
      </c>
      <c r="C10" s="384"/>
      <c r="D10" s="24" t="s">
        <v>16</v>
      </c>
      <c r="E10" s="26">
        <f>E11/E43</f>
        <v>2.3900000000000001E-2</v>
      </c>
      <c r="F10" s="178">
        <v>1</v>
      </c>
      <c r="G10" s="159"/>
      <c r="H10" s="178"/>
      <c r="I10" s="159"/>
      <c r="J10" s="178"/>
      <c r="K10" s="206"/>
      <c r="L10" s="178"/>
      <c r="M10" s="205"/>
    </row>
    <row r="11" spans="1:14" ht="15" customHeight="1" x14ac:dyDescent="0.2">
      <c r="A11" s="420"/>
      <c r="B11" s="385"/>
      <c r="C11" s="386"/>
      <c r="D11" s="127" t="s">
        <v>15</v>
      </c>
      <c r="E11" s="128">
        <f>PLANILHA!J20</f>
        <v>14805.15</v>
      </c>
      <c r="F11" s="128">
        <f>F10*E11</f>
        <v>14805.15</v>
      </c>
      <c r="G11" s="204"/>
      <c r="H11" s="128"/>
      <c r="I11" s="204"/>
      <c r="J11" s="128"/>
      <c r="K11" s="201"/>
      <c r="L11" s="128"/>
      <c r="M11" s="207"/>
      <c r="N11" s="23"/>
    </row>
    <row r="12" spans="1:14" ht="15" customHeight="1" x14ac:dyDescent="0.2">
      <c r="A12" s="423" t="str">
        <f>PLANILHA!B25</f>
        <v>2.0</v>
      </c>
      <c r="B12" s="422" t="str">
        <f>PLANILHA!E25</f>
        <v>MOVIMENTAÇÃO DE TERRA PARA FUNDAÇÕES</v>
      </c>
      <c r="C12" s="422"/>
      <c r="D12" s="24" t="s">
        <v>16</v>
      </c>
      <c r="E12" s="26">
        <f>E13/E43</f>
        <v>6.1000000000000004E-3</v>
      </c>
      <c r="F12" s="179">
        <v>1</v>
      </c>
      <c r="G12" s="158"/>
      <c r="H12" s="179"/>
      <c r="I12" s="158"/>
      <c r="J12" s="179"/>
      <c r="K12" s="199"/>
      <c r="L12" s="179"/>
      <c r="M12" s="200"/>
    </row>
    <row r="13" spans="1:14" ht="15" customHeight="1" x14ac:dyDescent="0.2">
      <c r="A13" s="421"/>
      <c r="B13" s="422"/>
      <c r="C13" s="422"/>
      <c r="D13" s="127" t="s">
        <v>15</v>
      </c>
      <c r="E13" s="128">
        <f>PLANILHA!J25</f>
        <v>3762.86</v>
      </c>
      <c r="F13" s="128">
        <f>F12*E13</f>
        <v>3762.86</v>
      </c>
      <c r="G13" s="204"/>
      <c r="H13" s="128"/>
      <c r="I13" s="204"/>
      <c r="J13" s="128"/>
      <c r="K13" s="201"/>
      <c r="L13" s="128"/>
      <c r="M13" s="207"/>
    </row>
    <row r="14" spans="1:14" ht="15" customHeight="1" x14ac:dyDescent="0.2">
      <c r="A14" s="423" t="str">
        <f>PLANILHA!B30</f>
        <v>3.0</v>
      </c>
      <c r="B14" s="422" t="str">
        <f>PLANILHA!E30</f>
        <v>FUNDAÇÃO</v>
      </c>
      <c r="C14" s="422"/>
      <c r="D14" s="24" t="s">
        <v>16</v>
      </c>
      <c r="E14" s="26">
        <f>E15/E43</f>
        <v>4.7600000000000003E-2</v>
      </c>
      <c r="F14" s="179">
        <v>0.75</v>
      </c>
      <c r="G14" s="158">
        <v>0.25</v>
      </c>
      <c r="H14" s="179"/>
      <c r="I14" s="158"/>
      <c r="J14" s="179"/>
      <c r="K14" s="199"/>
      <c r="L14" s="179"/>
      <c r="M14" s="200"/>
    </row>
    <row r="15" spans="1:14" ht="15" customHeight="1" x14ac:dyDescent="0.2">
      <c r="A15" s="421"/>
      <c r="B15" s="422"/>
      <c r="C15" s="422"/>
      <c r="D15" s="128" t="s">
        <v>15</v>
      </c>
      <c r="E15" s="128">
        <f>PLANILHA!J30</f>
        <v>29404.52</v>
      </c>
      <c r="F15" s="128">
        <f>F14*E15</f>
        <v>22053.39</v>
      </c>
      <c r="G15" s="204">
        <f>G14*E15</f>
        <v>7351.13</v>
      </c>
      <c r="H15" s="128"/>
      <c r="I15" s="204"/>
      <c r="J15" s="128"/>
      <c r="K15" s="201"/>
      <c r="L15" s="128"/>
      <c r="M15" s="207"/>
    </row>
    <row r="16" spans="1:14" ht="15" customHeight="1" x14ac:dyDescent="0.2">
      <c r="A16" s="423" t="str">
        <f>PLANILHA!B40</f>
        <v>4.0</v>
      </c>
      <c r="B16" s="422" t="str">
        <f>PLANILHA!E40</f>
        <v>SUPERESTRUTURA</v>
      </c>
      <c r="C16" s="422"/>
      <c r="D16" s="24" t="s">
        <v>16</v>
      </c>
      <c r="E16" s="26">
        <f>E17/E43</f>
        <v>8.6400000000000005E-2</v>
      </c>
      <c r="F16" s="179"/>
      <c r="G16" s="158">
        <v>0.4</v>
      </c>
      <c r="H16" s="179">
        <v>0.6</v>
      </c>
      <c r="I16" s="158"/>
      <c r="J16" s="179"/>
      <c r="K16" s="199"/>
      <c r="L16" s="179"/>
      <c r="M16" s="200"/>
    </row>
    <row r="17" spans="1:13" ht="15" customHeight="1" x14ac:dyDescent="0.2">
      <c r="A17" s="421"/>
      <c r="B17" s="422"/>
      <c r="C17" s="422"/>
      <c r="D17" s="128" t="s">
        <v>15</v>
      </c>
      <c r="E17" s="128">
        <f>PLANILHA!J40</f>
        <v>53435.15</v>
      </c>
      <c r="F17" s="128"/>
      <c r="G17" s="204">
        <f>G16*E17</f>
        <v>21374.06</v>
      </c>
      <c r="H17" s="204">
        <f>H16*E17</f>
        <v>32061.09</v>
      </c>
      <c r="I17" s="204"/>
      <c r="J17" s="128"/>
      <c r="K17" s="201"/>
      <c r="L17" s="128"/>
      <c r="M17" s="207"/>
    </row>
    <row r="18" spans="1:13" ht="15" customHeight="1" x14ac:dyDescent="0.2">
      <c r="A18" s="421" t="str">
        <f>PLANILHA!B64</f>
        <v>5.0</v>
      </c>
      <c r="B18" s="422" t="str">
        <f>PLANILHA!E64</f>
        <v xml:space="preserve">SISTEMA DE VEDAÇÃO VERTICAL INTERNO E EXTERNO </v>
      </c>
      <c r="C18" s="422"/>
      <c r="D18" s="24" t="s">
        <v>16</v>
      </c>
      <c r="E18" s="26">
        <f>E19/E43</f>
        <v>4.5900000000000003E-2</v>
      </c>
      <c r="F18" s="179"/>
      <c r="G18" s="158">
        <v>0.2</v>
      </c>
      <c r="H18" s="179">
        <v>0.5</v>
      </c>
      <c r="I18" s="158">
        <v>0.3</v>
      </c>
      <c r="J18" s="179"/>
      <c r="K18" s="199"/>
      <c r="L18" s="179"/>
      <c r="M18" s="200"/>
    </row>
    <row r="19" spans="1:13" ht="15" customHeight="1" x14ac:dyDescent="0.2">
      <c r="A19" s="421"/>
      <c r="B19" s="422"/>
      <c r="C19" s="422"/>
      <c r="D19" s="128" t="s">
        <v>15</v>
      </c>
      <c r="E19" s="128">
        <f>PLANILHA!J64</f>
        <v>28402.87</v>
      </c>
      <c r="F19" s="128"/>
      <c r="G19" s="204">
        <f>G18*E19</f>
        <v>5680.57</v>
      </c>
      <c r="H19" s="204">
        <f>H18*E19</f>
        <v>14201.44</v>
      </c>
      <c r="I19" s="204">
        <f>I18*E19</f>
        <v>8520.86</v>
      </c>
      <c r="J19" s="128"/>
      <c r="K19" s="204"/>
      <c r="L19" s="128"/>
      <c r="M19" s="207"/>
    </row>
    <row r="20" spans="1:13" ht="15" customHeight="1" x14ac:dyDescent="0.2">
      <c r="A20" s="421" t="str">
        <f>PLANILHA!B71</f>
        <v>6.0</v>
      </c>
      <c r="B20" s="422" t="str">
        <f>PLANILHA!E71</f>
        <v xml:space="preserve">ESQUADRIAS </v>
      </c>
      <c r="C20" s="422"/>
      <c r="D20" s="24" t="s">
        <v>16</v>
      </c>
      <c r="E20" s="26">
        <f>E21/E43</f>
        <v>8.8300000000000003E-2</v>
      </c>
      <c r="F20" s="179"/>
      <c r="G20" s="158"/>
      <c r="H20" s="179"/>
      <c r="I20" s="158"/>
      <c r="J20" s="179"/>
      <c r="K20" s="199">
        <v>0.5</v>
      </c>
      <c r="L20" s="179">
        <v>0.5</v>
      </c>
      <c r="M20" s="200"/>
    </row>
    <row r="21" spans="1:13" ht="15" customHeight="1" x14ac:dyDescent="0.2">
      <c r="A21" s="421"/>
      <c r="B21" s="422"/>
      <c r="C21" s="422"/>
      <c r="D21" s="128" t="s">
        <v>15</v>
      </c>
      <c r="E21" s="128">
        <f>PLANILHA!J71</f>
        <v>54611.199999999997</v>
      </c>
      <c r="F21" s="128"/>
      <c r="G21" s="204"/>
      <c r="H21" s="128"/>
      <c r="I21" s="204"/>
      <c r="J21" s="128"/>
      <c r="K21" s="128">
        <f>K20*E21</f>
        <v>27305.599999999999</v>
      </c>
      <c r="L21" s="128">
        <f>L20*E21</f>
        <v>27305.599999999999</v>
      </c>
      <c r="M21" s="207"/>
    </row>
    <row r="22" spans="1:13" ht="15" customHeight="1" x14ac:dyDescent="0.2">
      <c r="A22" s="421" t="str">
        <f>PLANILHA!B85</f>
        <v>7.0</v>
      </c>
      <c r="B22" s="422" t="str">
        <f>PLANILHA!E85</f>
        <v xml:space="preserve">SISTEMAS DE COBERTURA </v>
      </c>
      <c r="C22" s="422"/>
      <c r="D22" s="24" t="s">
        <v>16</v>
      </c>
      <c r="E22" s="26">
        <f>E23/E43</f>
        <v>0.26090000000000002</v>
      </c>
      <c r="F22" s="179"/>
      <c r="G22" s="158"/>
      <c r="H22" s="179"/>
      <c r="I22" s="158"/>
      <c r="J22" s="179">
        <v>0.4</v>
      </c>
      <c r="K22" s="199">
        <v>0.4</v>
      </c>
      <c r="L22" s="179">
        <v>0.2</v>
      </c>
      <c r="M22" s="200"/>
    </row>
    <row r="23" spans="1:13" ht="15" customHeight="1" x14ac:dyDescent="0.2">
      <c r="A23" s="421"/>
      <c r="B23" s="422"/>
      <c r="C23" s="422"/>
      <c r="D23" s="128" t="s">
        <v>15</v>
      </c>
      <c r="E23" s="128">
        <f>PLANILHA!J85</f>
        <v>161276.47</v>
      </c>
      <c r="F23" s="128"/>
      <c r="G23" s="204"/>
      <c r="H23" s="128"/>
      <c r="I23" s="204"/>
      <c r="J23" s="128">
        <f>J22*E23</f>
        <v>64510.59</v>
      </c>
      <c r="K23" s="128">
        <f>K22*E23</f>
        <v>64510.59</v>
      </c>
      <c r="L23" s="128">
        <f>L22*E23</f>
        <v>32255.29</v>
      </c>
      <c r="M23" s="207"/>
    </row>
    <row r="24" spans="1:13" ht="15" customHeight="1" x14ac:dyDescent="0.2">
      <c r="A24" s="421" t="str">
        <f>PLANILHA!B104</f>
        <v>8.0</v>
      </c>
      <c r="B24" s="422" t="str">
        <f>PLANILHA!E104</f>
        <v>INSTALAÇÕES ELÉTRICAS</v>
      </c>
      <c r="C24" s="422"/>
      <c r="D24" s="24" t="s">
        <v>16</v>
      </c>
      <c r="E24" s="26">
        <f>E25/E43</f>
        <v>4.6399999999999997E-2</v>
      </c>
      <c r="F24" s="179"/>
      <c r="G24" s="158"/>
      <c r="H24" s="179"/>
      <c r="I24" s="158"/>
      <c r="J24" s="179"/>
      <c r="K24" s="199">
        <v>0.5</v>
      </c>
      <c r="L24" s="179">
        <v>0.5</v>
      </c>
      <c r="M24" s="200"/>
    </row>
    <row r="25" spans="1:13" ht="15" customHeight="1" x14ac:dyDescent="0.2">
      <c r="A25" s="421"/>
      <c r="B25" s="422"/>
      <c r="C25" s="422"/>
      <c r="D25" s="128" t="s">
        <v>15</v>
      </c>
      <c r="E25" s="128">
        <f>PLANILHA!J104</f>
        <v>28665.24</v>
      </c>
      <c r="F25" s="128"/>
      <c r="G25" s="204"/>
      <c r="H25" s="128"/>
      <c r="I25" s="204"/>
      <c r="J25" s="128"/>
      <c r="K25" s="128">
        <f>K24*E25</f>
        <v>14332.62</v>
      </c>
      <c r="L25" s="128">
        <f>L24*E25</f>
        <v>14332.62</v>
      </c>
      <c r="M25" s="207"/>
    </row>
    <row r="26" spans="1:13" ht="15" customHeight="1" x14ac:dyDescent="0.2">
      <c r="A26" s="421" t="str">
        <f>PLANILHA!B114</f>
        <v>9.0</v>
      </c>
      <c r="B26" s="422" t="str">
        <f>PLANILHA!E114</f>
        <v>REVESTIMENTOS INTERNOS E EXTERNOS</v>
      </c>
      <c r="C26" s="422"/>
      <c r="D26" s="24" t="s">
        <v>16</v>
      </c>
      <c r="E26" s="26">
        <f>E27/E43</f>
        <v>0.1087</v>
      </c>
      <c r="F26" s="179"/>
      <c r="G26" s="158"/>
      <c r="H26" s="179"/>
      <c r="I26" s="158"/>
      <c r="J26" s="179">
        <v>0.5</v>
      </c>
      <c r="K26" s="199">
        <v>0.5</v>
      </c>
      <c r="L26" s="179"/>
      <c r="M26" s="200"/>
    </row>
    <row r="27" spans="1:13" ht="15" customHeight="1" x14ac:dyDescent="0.2">
      <c r="A27" s="421"/>
      <c r="B27" s="422"/>
      <c r="C27" s="422"/>
      <c r="D27" s="128" t="s">
        <v>15</v>
      </c>
      <c r="E27" s="128">
        <f>PLANILHA!J114</f>
        <v>67192.210000000006</v>
      </c>
      <c r="F27" s="128"/>
      <c r="G27" s="204"/>
      <c r="H27" s="128"/>
      <c r="I27" s="204"/>
      <c r="J27" s="128">
        <f>J26*E27</f>
        <v>33596.11</v>
      </c>
      <c r="K27" s="128">
        <f>K26*E27</f>
        <v>33596.11</v>
      </c>
      <c r="L27" s="128"/>
      <c r="M27" s="207"/>
    </row>
    <row r="28" spans="1:13" ht="15" customHeight="1" x14ac:dyDescent="0.2">
      <c r="A28" s="419" t="str">
        <f>PLANILHA!B120</f>
        <v>10.0</v>
      </c>
      <c r="B28" s="425" t="str">
        <f>PLANILHA!E120</f>
        <v xml:space="preserve">PISOS INTERNOS E EXTERNOS </v>
      </c>
      <c r="C28" s="426"/>
      <c r="D28" s="24" t="s">
        <v>16</v>
      </c>
      <c r="E28" s="26">
        <f>E29/E43</f>
        <v>0.1206</v>
      </c>
      <c r="F28" s="179"/>
      <c r="G28" s="158"/>
      <c r="H28" s="179"/>
      <c r="I28" s="158"/>
      <c r="J28" s="179"/>
      <c r="K28" s="199"/>
      <c r="L28" s="179">
        <v>0.7</v>
      </c>
      <c r="M28" s="200">
        <v>0.3</v>
      </c>
    </row>
    <row r="29" spans="1:13" ht="15" customHeight="1" x14ac:dyDescent="0.2">
      <c r="A29" s="424"/>
      <c r="B29" s="427"/>
      <c r="C29" s="428"/>
      <c r="D29" s="128" t="s">
        <v>15</v>
      </c>
      <c r="E29" s="128">
        <f>PLANILHA!J120</f>
        <v>74580.14</v>
      </c>
      <c r="F29" s="128"/>
      <c r="G29" s="204"/>
      <c r="H29" s="128"/>
      <c r="I29" s="204"/>
      <c r="J29" s="128"/>
      <c r="K29" s="201"/>
      <c r="L29" s="128">
        <f>L28*E29</f>
        <v>52206.1</v>
      </c>
      <c r="M29" s="257">
        <f>M28*E29</f>
        <v>22374.04</v>
      </c>
    </row>
    <row r="30" spans="1:13" ht="15" customHeight="1" x14ac:dyDescent="0.2">
      <c r="A30" s="419" t="str">
        <f>PLANILHA!B127</f>
        <v>11.0</v>
      </c>
      <c r="B30" s="425" t="str">
        <f>PLANILHA!E127</f>
        <v>PINTURA</v>
      </c>
      <c r="C30" s="426"/>
      <c r="D30" s="24" t="s">
        <v>16</v>
      </c>
      <c r="E30" s="26">
        <f>E31/E43</f>
        <v>1.9300000000000001E-2</v>
      </c>
      <c r="F30" s="179"/>
      <c r="G30" s="158"/>
      <c r="H30" s="179"/>
      <c r="I30" s="158"/>
      <c r="J30" s="179"/>
      <c r="K30" s="199"/>
      <c r="L30" s="179"/>
      <c r="M30" s="200">
        <v>1</v>
      </c>
    </row>
    <row r="31" spans="1:13" ht="15" customHeight="1" x14ac:dyDescent="0.2">
      <c r="A31" s="424"/>
      <c r="B31" s="427"/>
      <c r="C31" s="428"/>
      <c r="D31" s="128" t="s">
        <v>15</v>
      </c>
      <c r="E31" s="128">
        <f>PLANILHA!J127</f>
        <v>11901.14</v>
      </c>
      <c r="F31" s="128"/>
      <c r="G31" s="204"/>
      <c r="H31" s="128"/>
      <c r="I31" s="204"/>
      <c r="J31" s="128"/>
      <c r="K31" s="201"/>
      <c r="L31" s="128"/>
      <c r="M31" s="207">
        <f>M30*E31</f>
        <v>11901.14</v>
      </c>
    </row>
    <row r="32" spans="1:13" ht="15" customHeight="1" x14ac:dyDescent="0.2">
      <c r="A32" s="421" t="str">
        <f>PLANILHA!B132</f>
        <v>12.0</v>
      </c>
      <c r="B32" s="422" t="str">
        <f>PLANILHA!E132</f>
        <v>INSTALAÇÕES HIDRÁULICAS</v>
      </c>
      <c r="C32" s="422"/>
      <c r="D32" s="24" t="s">
        <v>16</v>
      </c>
      <c r="E32" s="26">
        <f>E33/E43</f>
        <v>6.6E-3</v>
      </c>
      <c r="F32" s="179"/>
      <c r="G32" s="158"/>
      <c r="H32" s="179"/>
      <c r="I32" s="158"/>
      <c r="J32" s="179"/>
      <c r="K32" s="199"/>
      <c r="L32" s="179">
        <v>1</v>
      </c>
      <c r="M32" s="200"/>
    </row>
    <row r="33" spans="1:15" ht="15" customHeight="1" x14ac:dyDescent="0.2">
      <c r="A33" s="421"/>
      <c r="B33" s="422"/>
      <c r="C33" s="422"/>
      <c r="D33" s="128" t="s">
        <v>15</v>
      </c>
      <c r="E33" s="128">
        <f>PLANILHA!J132</f>
        <v>4066.5</v>
      </c>
      <c r="F33" s="128"/>
      <c r="G33" s="204"/>
      <c r="H33" s="128"/>
      <c r="I33" s="204"/>
      <c r="J33" s="128"/>
      <c r="K33" s="201"/>
      <c r="L33" s="128">
        <f>L32*E33</f>
        <v>4066.5</v>
      </c>
      <c r="M33" s="207"/>
    </row>
    <row r="34" spans="1:15" ht="15" customHeight="1" x14ac:dyDescent="0.2">
      <c r="A34" s="419" t="str">
        <f>PLANILHA!B135</f>
        <v>13.0</v>
      </c>
      <c r="B34" s="422" t="str">
        <f>PLANILHA!E135</f>
        <v>INSTALAÇÕES SANITÁRIAS</v>
      </c>
      <c r="C34" s="422"/>
      <c r="D34" s="24" t="s">
        <v>16</v>
      </c>
      <c r="E34" s="26">
        <f>E35/E43</f>
        <v>1.4200000000000001E-2</v>
      </c>
      <c r="F34" s="179"/>
      <c r="G34" s="158"/>
      <c r="H34" s="179"/>
      <c r="I34" s="158"/>
      <c r="J34" s="179"/>
      <c r="K34" s="199"/>
      <c r="L34" s="179">
        <v>1</v>
      </c>
      <c r="M34" s="200"/>
    </row>
    <row r="35" spans="1:15" ht="15" customHeight="1" x14ac:dyDescent="0.2">
      <c r="A35" s="424"/>
      <c r="B35" s="422"/>
      <c r="C35" s="422"/>
      <c r="D35" s="175"/>
      <c r="E35" s="175">
        <f>PLANILHA!J135</f>
        <v>8748.0400000000009</v>
      </c>
      <c r="F35" s="175"/>
      <c r="G35" s="176"/>
      <c r="H35" s="175"/>
      <c r="I35" s="176"/>
      <c r="J35" s="128"/>
      <c r="K35" s="204"/>
      <c r="L35" s="128">
        <f>L34*E35</f>
        <v>8748.0400000000009</v>
      </c>
      <c r="M35" s="207"/>
    </row>
    <row r="36" spans="1:15" ht="15" customHeight="1" x14ac:dyDescent="0.2">
      <c r="A36" s="419" t="str">
        <f>PLANILHA!B139</f>
        <v>14.0</v>
      </c>
      <c r="B36" s="422" t="str">
        <f>PLANILHA!E139</f>
        <v>LOUÇAS E METAIS</v>
      </c>
      <c r="C36" s="422"/>
      <c r="D36" s="24" t="s">
        <v>16</v>
      </c>
      <c r="E36" s="26">
        <f>E37/E43</f>
        <v>2.8899999999999999E-2</v>
      </c>
      <c r="F36" s="179"/>
      <c r="G36" s="158"/>
      <c r="H36" s="179"/>
      <c r="I36" s="158"/>
      <c r="J36" s="179"/>
      <c r="K36" s="199"/>
      <c r="L36" s="179">
        <v>1</v>
      </c>
      <c r="M36" s="200"/>
    </row>
    <row r="37" spans="1:15" ht="15" customHeight="1" x14ac:dyDescent="0.2">
      <c r="A37" s="424"/>
      <c r="B37" s="422"/>
      <c r="C37" s="422"/>
      <c r="D37" s="175"/>
      <c r="E37" s="175">
        <f>PLANILHA!J139</f>
        <v>17839.38</v>
      </c>
      <c r="F37" s="175"/>
      <c r="G37" s="176"/>
      <c r="H37" s="175"/>
      <c r="I37" s="176"/>
      <c r="J37" s="128"/>
      <c r="K37" s="204"/>
      <c r="L37" s="128">
        <f>L36*E37</f>
        <v>17839.38</v>
      </c>
      <c r="M37" s="207"/>
    </row>
    <row r="38" spans="1:15" ht="15" customHeight="1" x14ac:dyDescent="0.2">
      <c r="A38" s="419" t="str">
        <f>PLANILHA!B154</f>
        <v>15.0</v>
      </c>
      <c r="B38" s="422" t="str">
        <f>PLANILHA!E154</f>
        <v>BANCADAS / DIVISÓRIAS</v>
      </c>
      <c r="C38" s="422"/>
      <c r="D38" s="24" t="s">
        <v>16</v>
      </c>
      <c r="E38" s="26">
        <f>E39/E43</f>
        <v>3.5000000000000003E-2</v>
      </c>
      <c r="F38" s="179"/>
      <c r="G38" s="158"/>
      <c r="H38" s="179"/>
      <c r="I38" s="158"/>
      <c r="J38" s="179"/>
      <c r="K38" s="199"/>
      <c r="L38" s="179">
        <v>1</v>
      </c>
      <c r="M38" s="200"/>
    </row>
    <row r="39" spans="1:15" ht="15" customHeight="1" x14ac:dyDescent="0.2">
      <c r="A39" s="424"/>
      <c r="B39" s="422"/>
      <c r="C39" s="422"/>
      <c r="D39" s="175"/>
      <c r="E39" s="175">
        <f>PLANILHA!J154</f>
        <v>21620.55</v>
      </c>
      <c r="F39" s="175"/>
      <c r="G39" s="176"/>
      <c r="H39" s="175"/>
      <c r="I39" s="176"/>
      <c r="J39" s="128"/>
      <c r="K39" s="204"/>
      <c r="L39" s="128">
        <f>L38*E39</f>
        <v>21620.55</v>
      </c>
      <c r="M39" s="207"/>
    </row>
    <row r="40" spans="1:15" ht="15" customHeight="1" x14ac:dyDescent="0.2">
      <c r="A40" s="419" t="str">
        <f>PLANILHA!B161</f>
        <v>16.0</v>
      </c>
      <c r="B40" s="422" t="str">
        <f>PLANILHA!E161</f>
        <v>OUTROS</v>
      </c>
      <c r="C40" s="422"/>
      <c r="D40" s="24" t="s">
        <v>16</v>
      </c>
      <c r="E40" s="26">
        <f>E41/E43</f>
        <v>6.13E-2</v>
      </c>
      <c r="F40" s="179"/>
      <c r="G40" s="158"/>
      <c r="H40" s="179"/>
      <c r="I40" s="158"/>
      <c r="J40" s="179"/>
      <c r="K40" s="199"/>
      <c r="L40" s="179"/>
      <c r="M40" s="200">
        <v>1</v>
      </c>
    </row>
    <row r="41" spans="1:15" ht="15" customHeight="1" x14ac:dyDescent="0.2">
      <c r="A41" s="424"/>
      <c r="B41" s="422"/>
      <c r="C41" s="422"/>
      <c r="D41" s="175"/>
      <c r="E41" s="175">
        <f>PLANILHA!J161</f>
        <v>37896</v>
      </c>
      <c r="F41" s="175"/>
      <c r="G41" s="176"/>
      <c r="H41" s="175"/>
      <c r="I41" s="176"/>
      <c r="J41" s="210"/>
      <c r="K41" s="208"/>
      <c r="L41" s="210"/>
      <c r="M41" s="258">
        <f>M40*E41</f>
        <v>37896</v>
      </c>
    </row>
    <row r="42" spans="1:15" ht="15" customHeight="1" x14ac:dyDescent="0.2">
      <c r="A42" s="413" t="s">
        <v>17</v>
      </c>
      <c r="B42" s="414"/>
      <c r="C42" s="415"/>
      <c r="D42" s="25" t="s">
        <v>16</v>
      </c>
      <c r="E42" s="27">
        <v>1</v>
      </c>
      <c r="F42" s="27">
        <f>F43/E43</f>
        <v>6.5699999999999995E-2</v>
      </c>
      <c r="G42" s="27">
        <f>G43/E43</f>
        <v>5.57E-2</v>
      </c>
      <c r="H42" s="27">
        <f>H43/E43</f>
        <v>7.4800000000000005E-2</v>
      </c>
      <c r="I42" s="27">
        <f>I43/E43</f>
        <v>1.38E-2</v>
      </c>
      <c r="J42" s="27">
        <f>J43/E43</f>
        <v>0.15870000000000001</v>
      </c>
      <c r="K42" s="27">
        <f>K43/E43</f>
        <v>0.22600000000000001</v>
      </c>
      <c r="L42" s="27">
        <f>L43/E43</f>
        <v>0.28849999999999998</v>
      </c>
      <c r="M42" s="259">
        <f>M43/E43</f>
        <v>0.1167</v>
      </c>
      <c r="N42" s="20"/>
    </row>
    <row r="43" spans="1:15" ht="15" customHeight="1" thickBot="1" x14ac:dyDescent="0.25">
      <c r="A43" s="416"/>
      <c r="B43" s="417"/>
      <c r="C43" s="418"/>
      <c r="D43" s="129" t="s">
        <v>15</v>
      </c>
      <c r="E43" s="130">
        <f t="shared" ref="E43:M43" si="0">E11+E13+E15+E17+E19+E21+E23+E25+E27+E33+E29+E31+E35+E37+E39+E41</f>
        <v>618207.42000000004</v>
      </c>
      <c r="F43" s="130">
        <f t="shared" si="0"/>
        <v>40621.4</v>
      </c>
      <c r="G43" s="130">
        <f t="shared" si="0"/>
        <v>34405.760000000002</v>
      </c>
      <c r="H43" s="130">
        <f t="shared" si="0"/>
        <v>46262.53</v>
      </c>
      <c r="I43" s="130">
        <f t="shared" si="0"/>
        <v>8520.86</v>
      </c>
      <c r="J43" s="130">
        <f t="shared" si="0"/>
        <v>98106.7</v>
      </c>
      <c r="K43" s="130">
        <f t="shared" si="0"/>
        <v>139744.92000000001</v>
      </c>
      <c r="L43" s="130">
        <f t="shared" si="0"/>
        <v>178374.08</v>
      </c>
      <c r="M43" s="260">
        <f t="shared" si="0"/>
        <v>72171.179999999993</v>
      </c>
      <c r="N43" s="23"/>
    </row>
    <row r="44" spans="1:15" ht="1.5" customHeight="1" x14ac:dyDescent="0.2">
      <c r="A44" s="17"/>
      <c r="B44" s="15"/>
      <c r="C44" s="15"/>
      <c r="D44" s="16"/>
      <c r="E44" s="16"/>
      <c r="F44" s="180"/>
      <c r="G44" s="180"/>
      <c r="H44" s="180"/>
      <c r="I44" s="180"/>
      <c r="J44" s="182"/>
      <c r="K44" s="180"/>
      <c r="L44" s="183"/>
      <c r="M44" s="184"/>
    </row>
    <row r="45" spans="1:15" ht="14.25" customHeight="1" x14ac:dyDescent="0.2">
      <c r="A45" s="14"/>
      <c r="B45" s="13"/>
      <c r="C45" s="13"/>
      <c r="D45" s="13"/>
      <c r="E45" s="13"/>
      <c r="F45" s="143"/>
      <c r="G45" s="143"/>
      <c r="H45" s="185"/>
      <c r="I45" s="185"/>
      <c r="J45" s="185"/>
      <c r="K45" s="185"/>
      <c r="L45" s="185"/>
      <c r="M45" s="186" t="s">
        <v>14</v>
      </c>
      <c r="O45" s="23"/>
    </row>
    <row r="46" spans="1:15" ht="14.25" customHeight="1" x14ac:dyDescent="0.2">
      <c r="A46" s="14"/>
      <c r="B46" s="12"/>
      <c r="C46" s="12"/>
      <c r="D46" s="13"/>
      <c r="E46" s="13"/>
      <c r="F46" s="202"/>
      <c r="G46" s="202"/>
      <c r="H46" s="187" t="s">
        <v>25</v>
      </c>
      <c r="I46" s="185"/>
      <c r="J46" s="185"/>
      <c r="K46" s="185"/>
      <c r="L46" s="185"/>
      <c r="M46" s="184"/>
    </row>
    <row r="47" spans="1:15" ht="41.45" customHeight="1" x14ac:dyDescent="0.2">
      <c r="A47" s="11"/>
      <c r="B47" s="411"/>
      <c r="C47" s="411"/>
      <c r="D47" s="411"/>
      <c r="E47" s="411"/>
      <c r="F47" s="411"/>
      <c r="G47" s="198"/>
      <c r="H47" s="185"/>
      <c r="I47" s="185"/>
      <c r="J47" s="185"/>
      <c r="K47" s="185"/>
      <c r="L47" s="185"/>
      <c r="M47" s="184"/>
    </row>
    <row r="48" spans="1:15" ht="14.25" customHeight="1" x14ac:dyDescent="0.2">
      <c r="A48" s="11"/>
      <c r="B48" s="286" t="s">
        <v>71</v>
      </c>
      <c r="C48" s="286"/>
      <c r="D48" s="286"/>
      <c r="E48" s="286"/>
      <c r="F48" s="286"/>
      <c r="G48" s="198"/>
      <c r="H48" s="185"/>
      <c r="I48" s="185"/>
      <c r="J48" s="185"/>
      <c r="K48" s="185"/>
      <c r="L48" s="185"/>
      <c r="M48" s="184"/>
    </row>
    <row r="49" spans="1:13" ht="14.25" customHeight="1" x14ac:dyDescent="0.2">
      <c r="A49" s="11"/>
      <c r="B49" s="285" t="s">
        <v>72</v>
      </c>
      <c r="C49" s="285"/>
      <c r="D49" s="285"/>
      <c r="E49" s="285"/>
      <c r="F49" s="285"/>
      <c r="G49" s="198"/>
      <c r="H49" s="185"/>
      <c r="I49" s="185"/>
      <c r="J49" s="185"/>
      <c r="K49" s="185"/>
      <c r="L49" s="185"/>
      <c r="M49" s="184"/>
    </row>
    <row r="50" spans="1:13" ht="13.5" customHeight="1" x14ac:dyDescent="0.2">
      <c r="A50" s="9"/>
      <c r="B50" s="412" t="str">
        <f>PLANILHA!E181</f>
        <v>Prefeitura Municipal de outo de Magalhães de Minas</v>
      </c>
      <c r="C50" s="412"/>
      <c r="D50" s="412"/>
      <c r="E50" s="412"/>
      <c r="F50" s="412"/>
      <c r="G50" s="185"/>
      <c r="H50" s="185"/>
      <c r="I50" s="185"/>
      <c r="J50" s="185"/>
      <c r="K50" s="185"/>
      <c r="L50" s="185"/>
      <c r="M50" s="184"/>
    </row>
    <row r="51" spans="1:13" ht="14.25" customHeight="1" thickBot="1" x14ac:dyDescent="0.25">
      <c r="A51" s="8"/>
      <c r="B51" s="274"/>
      <c r="C51" s="274"/>
      <c r="D51" s="7"/>
      <c r="E51" s="7"/>
      <c r="F51" s="181"/>
      <c r="G51" s="181"/>
      <c r="H51" s="181"/>
      <c r="I51" s="181"/>
      <c r="J51" s="181"/>
      <c r="K51" s="181"/>
      <c r="L51" s="181"/>
      <c r="M51" s="188"/>
    </row>
  </sheetData>
  <mergeCells count="48">
    <mergeCell ref="A38:A39"/>
    <mergeCell ref="A40:A41"/>
    <mergeCell ref="B18:C19"/>
    <mergeCell ref="B34:C35"/>
    <mergeCell ref="B36:C37"/>
    <mergeCell ref="B38:C39"/>
    <mergeCell ref="B40:C41"/>
    <mergeCell ref="A32:A33"/>
    <mergeCell ref="B32:C33"/>
    <mergeCell ref="A22:A23"/>
    <mergeCell ref="A28:A29"/>
    <mergeCell ref="B22:C23"/>
    <mergeCell ref="A24:A25"/>
    <mergeCell ref="B24:C25"/>
    <mergeCell ref="A26:A27"/>
    <mergeCell ref="B26:C27"/>
    <mergeCell ref="A42:C43"/>
    <mergeCell ref="A10:A11"/>
    <mergeCell ref="A20:A21"/>
    <mergeCell ref="B20:C21"/>
    <mergeCell ref="A14:A15"/>
    <mergeCell ref="B14:C15"/>
    <mergeCell ref="A16:A17"/>
    <mergeCell ref="B16:C17"/>
    <mergeCell ref="A30:A31"/>
    <mergeCell ref="B28:C29"/>
    <mergeCell ref="B30:C31"/>
    <mergeCell ref="A12:A13"/>
    <mergeCell ref="B12:C13"/>
    <mergeCell ref="A18:A19"/>
    <mergeCell ref="A34:A35"/>
    <mergeCell ref="A36:A37"/>
    <mergeCell ref="B51:C51"/>
    <mergeCell ref="B47:F47"/>
    <mergeCell ref="B48:F48"/>
    <mergeCell ref="B49:F49"/>
    <mergeCell ref="B50:F50"/>
    <mergeCell ref="B9:C9"/>
    <mergeCell ref="B10:C11"/>
    <mergeCell ref="A1:M5"/>
    <mergeCell ref="J7:M7"/>
    <mergeCell ref="A7:E7"/>
    <mergeCell ref="J8:M8"/>
    <mergeCell ref="E8:I8"/>
    <mergeCell ref="A8:D8"/>
    <mergeCell ref="A6:M6"/>
    <mergeCell ref="H7:I7"/>
    <mergeCell ref="F7:G7"/>
  </mergeCells>
  <printOptions horizontalCentered="1"/>
  <pageMargins left="0.39370078740157483" right="0.19685039370078741" top="0.78740157480314965" bottom="0.19685039370078741" header="0" footer="0"/>
  <pageSetup paperSize="9" scale="64" orientation="portrait" horizont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opLeftCell="A7" workbookViewId="0">
      <selection activeCell="E22" sqref="E22"/>
    </sheetView>
  </sheetViews>
  <sheetFormatPr defaultRowHeight="12.75" x14ac:dyDescent="0.2"/>
  <cols>
    <col min="1" max="1" width="5.5703125" customWidth="1"/>
    <col min="3" max="3" width="24.85546875" bestFit="1" customWidth="1"/>
    <col min="4" max="4" width="14.7109375" customWidth="1"/>
    <col min="7" max="7" width="4.5703125" customWidth="1"/>
    <col min="8" max="8" width="4.7109375" customWidth="1"/>
    <col min="9" max="9" width="5.85546875" customWidth="1"/>
  </cols>
  <sheetData>
    <row r="1" spans="1:10" ht="16.5" thickTop="1" x14ac:dyDescent="0.25">
      <c r="A1" s="431" t="s">
        <v>418</v>
      </c>
      <c r="B1" s="432"/>
      <c r="C1" s="432"/>
      <c r="D1" s="432"/>
      <c r="E1" s="432"/>
      <c r="F1" s="432"/>
      <c r="G1" s="432"/>
      <c r="H1" s="432"/>
      <c r="I1" s="432"/>
      <c r="J1" s="433"/>
    </row>
    <row r="2" spans="1:10" ht="15" x14ac:dyDescent="0.25">
      <c r="A2" s="211"/>
      <c r="B2" s="212"/>
      <c r="C2" s="213"/>
      <c r="D2" s="213"/>
      <c r="E2" s="213"/>
      <c r="F2" s="213"/>
      <c r="G2" s="213"/>
      <c r="H2" s="213"/>
      <c r="I2" s="213"/>
      <c r="J2" s="214"/>
    </row>
    <row r="3" spans="1:10" ht="15" x14ac:dyDescent="0.25">
      <c r="A3" s="211"/>
      <c r="B3" s="212"/>
      <c r="C3" s="213"/>
      <c r="D3" s="213"/>
      <c r="E3" s="213"/>
      <c r="F3" s="213"/>
      <c r="G3" s="213"/>
      <c r="H3" s="213"/>
      <c r="I3" s="213"/>
      <c r="J3" s="214"/>
    </row>
    <row r="4" spans="1:10" x14ac:dyDescent="0.2">
      <c r="A4" s="215"/>
      <c r="B4" s="434" t="str">
        <f>PLANILHA!B12</f>
        <v>OBRA: CONSTRUÇÃO DE ESPAÇO MULTIUSO CULTURAL</v>
      </c>
      <c r="C4" s="435"/>
      <c r="D4" s="435"/>
      <c r="E4" s="435"/>
      <c r="F4" s="435"/>
      <c r="G4" s="435"/>
      <c r="H4" s="435"/>
      <c r="I4" s="435"/>
      <c r="J4" s="436"/>
    </row>
    <row r="5" spans="1:10" x14ac:dyDescent="0.2">
      <c r="A5" s="211"/>
      <c r="B5" s="213"/>
      <c r="C5" s="213"/>
      <c r="D5" s="213"/>
      <c r="E5" s="213"/>
      <c r="F5" s="213"/>
      <c r="G5" s="213"/>
      <c r="H5" s="213"/>
      <c r="I5" s="213"/>
      <c r="J5" s="214"/>
    </row>
    <row r="6" spans="1:10" x14ac:dyDescent="0.2">
      <c r="A6" s="211"/>
      <c r="B6" s="213"/>
      <c r="C6" s="216" t="s">
        <v>419</v>
      </c>
      <c r="D6" s="213"/>
      <c r="E6" s="213"/>
      <c r="F6" s="213"/>
      <c r="G6" s="213"/>
      <c r="H6" s="213"/>
      <c r="I6" s="213"/>
      <c r="J6" s="214"/>
    </row>
    <row r="7" spans="1:10" x14ac:dyDescent="0.2">
      <c r="A7" s="211"/>
      <c r="B7" s="213"/>
      <c r="C7" s="213"/>
      <c r="D7" s="213"/>
      <c r="E7" s="213"/>
      <c r="F7" s="213"/>
      <c r="G7" s="213"/>
      <c r="H7" s="213"/>
      <c r="I7" s="213"/>
      <c r="J7" s="214"/>
    </row>
    <row r="8" spans="1:10" x14ac:dyDescent="0.2">
      <c r="A8" s="211"/>
      <c r="B8" s="217" t="s">
        <v>420</v>
      </c>
      <c r="C8" s="218" t="s">
        <v>421</v>
      </c>
      <c r="D8" s="219"/>
      <c r="E8" s="429">
        <v>5.5E-2</v>
      </c>
      <c r="F8" s="430"/>
      <c r="G8" s="213"/>
      <c r="H8" s="213"/>
      <c r="I8" s="213"/>
      <c r="J8" s="214"/>
    </row>
    <row r="9" spans="1:10" x14ac:dyDescent="0.2">
      <c r="A9" s="211"/>
      <c r="B9" s="217"/>
      <c r="C9" s="213"/>
      <c r="D9" s="213"/>
      <c r="E9" s="220"/>
      <c r="F9" s="213"/>
      <c r="G9" s="213"/>
      <c r="H9" s="213"/>
      <c r="I9" s="213"/>
      <c r="J9" s="214"/>
    </row>
    <row r="10" spans="1:10" x14ac:dyDescent="0.2">
      <c r="A10" s="211"/>
      <c r="B10" s="217" t="s">
        <v>422</v>
      </c>
      <c r="C10" s="218" t="s">
        <v>423</v>
      </c>
      <c r="D10" s="221"/>
      <c r="E10" s="429">
        <v>9.5999999999999992E-3</v>
      </c>
      <c r="F10" s="430"/>
      <c r="G10" s="213"/>
      <c r="H10" s="213"/>
      <c r="I10" s="213"/>
      <c r="J10" s="214"/>
    </row>
    <row r="11" spans="1:10" x14ac:dyDescent="0.2">
      <c r="A11" s="211"/>
      <c r="B11" s="217"/>
      <c r="C11" s="213"/>
      <c r="D11" s="213"/>
      <c r="E11" s="220"/>
      <c r="F11" s="213"/>
      <c r="G11" s="213"/>
      <c r="H11" s="213"/>
      <c r="I11" s="213"/>
      <c r="J11" s="214"/>
    </row>
    <row r="12" spans="1:10" x14ac:dyDescent="0.2">
      <c r="A12" s="211"/>
      <c r="B12" s="217" t="s">
        <v>424</v>
      </c>
      <c r="C12" s="218" t="s">
        <v>425</v>
      </c>
      <c r="D12" s="221"/>
      <c r="E12" s="429">
        <f>(2.27)/100</f>
        <v>2.2700000000000001E-2</v>
      </c>
      <c r="F12" s="430"/>
      <c r="G12" s="213"/>
      <c r="H12" s="213"/>
      <c r="I12" s="213"/>
      <c r="J12" s="214"/>
    </row>
    <row r="13" spans="1:10" x14ac:dyDescent="0.2">
      <c r="A13" s="211"/>
      <c r="B13" s="217"/>
      <c r="C13" s="213"/>
      <c r="D13" s="213"/>
      <c r="E13" s="220"/>
      <c r="F13" s="213"/>
      <c r="G13" s="213"/>
      <c r="H13" s="213"/>
      <c r="I13" s="213"/>
      <c r="J13" s="214"/>
    </row>
    <row r="14" spans="1:10" x14ac:dyDescent="0.2">
      <c r="A14" s="211"/>
      <c r="B14" s="217"/>
      <c r="C14" s="222" t="s">
        <v>426</v>
      </c>
      <c r="D14" s="223"/>
      <c r="E14" s="224">
        <v>2.5</v>
      </c>
      <c r="F14" s="225" t="s">
        <v>427</v>
      </c>
      <c r="G14" s="213"/>
      <c r="H14" s="213"/>
      <c r="I14" s="213"/>
      <c r="J14" s="214"/>
    </row>
    <row r="15" spans="1:10" x14ac:dyDescent="0.2">
      <c r="A15" s="211"/>
      <c r="B15" s="217" t="s">
        <v>428</v>
      </c>
      <c r="C15" s="226" t="s">
        <v>429</v>
      </c>
      <c r="D15" s="227"/>
      <c r="E15" s="228">
        <v>0.65</v>
      </c>
      <c r="F15" s="229" t="s">
        <v>427</v>
      </c>
      <c r="G15" s="213"/>
      <c r="H15" s="213"/>
      <c r="I15" s="213"/>
      <c r="J15" s="214"/>
    </row>
    <row r="16" spans="1:10" x14ac:dyDescent="0.2">
      <c r="A16" s="211"/>
      <c r="B16" s="217"/>
      <c r="C16" s="226" t="s">
        <v>430</v>
      </c>
      <c r="D16" s="227"/>
      <c r="E16" s="228">
        <v>3</v>
      </c>
      <c r="F16" s="229" t="s">
        <v>427</v>
      </c>
      <c r="G16" s="213"/>
      <c r="H16" s="213"/>
      <c r="I16" s="213"/>
      <c r="J16" s="214"/>
    </row>
    <row r="17" spans="1:10" x14ac:dyDescent="0.2">
      <c r="A17" s="211"/>
      <c r="B17" s="217"/>
      <c r="C17" s="230" t="s">
        <v>431</v>
      </c>
      <c r="D17" s="231"/>
      <c r="E17" s="429">
        <f>SUM(E14:E16)/100</f>
        <v>6.1499999999999999E-2</v>
      </c>
      <c r="F17" s="430"/>
      <c r="G17" s="213"/>
      <c r="H17" s="213"/>
      <c r="I17" s="213"/>
      <c r="J17" s="214"/>
    </row>
    <row r="18" spans="1:10" x14ac:dyDescent="0.2">
      <c r="A18" s="211"/>
      <c r="B18" s="217"/>
      <c r="C18" s="213"/>
      <c r="D18" s="213"/>
      <c r="E18" s="220"/>
      <c r="F18" s="213"/>
      <c r="G18" s="213"/>
      <c r="H18" s="213"/>
      <c r="I18" s="213"/>
      <c r="J18" s="214"/>
    </row>
    <row r="19" spans="1:10" x14ac:dyDescent="0.2">
      <c r="A19" s="211"/>
      <c r="B19" s="217" t="s">
        <v>432</v>
      </c>
      <c r="C19" s="218" t="s">
        <v>433</v>
      </c>
      <c r="D19" s="221"/>
      <c r="E19" s="429">
        <v>4.4999999999999998E-2</v>
      </c>
      <c r="F19" s="430"/>
      <c r="G19" s="213"/>
      <c r="H19" s="213"/>
      <c r="I19" s="213"/>
      <c r="J19" s="214"/>
    </row>
    <row r="20" spans="1:10" x14ac:dyDescent="0.2">
      <c r="A20" s="211"/>
      <c r="B20" s="213"/>
      <c r="C20" s="213"/>
      <c r="D20" s="213"/>
      <c r="E20" s="213"/>
      <c r="F20" s="213"/>
      <c r="G20" s="213"/>
      <c r="H20" s="213"/>
      <c r="I20" s="213"/>
      <c r="J20" s="214"/>
    </row>
    <row r="21" spans="1:10" x14ac:dyDescent="0.2">
      <c r="A21" s="211"/>
      <c r="B21" s="217" t="s">
        <v>434</v>
      </c>
      <c r="C21" s="218" t="s">
        <v>435</v>
      </c>
      <c r="D21" s="221"/>
      <c r="E21" s="429">
        <v>7.4999999999999997E-2</v>
      </c>
      <c r="F21" s="430"/>
      <c r="G21" s="213"/>
      <c r="H21" s="213"/>
      <c r="I21" s="213"/>
      <c r="J21" s="214"/>
    </row>
    <row r="22" spans="1:10" x14ac:dyDescent="0.2">
      <c r="A22" s="211"/>
      <c r="B22" s="213"/>
      <c r="C22" s="213"/>
      <c r="D22" s="220"/>
      <c r="E22" s="213"/>
      <c r="F22" s="213"/>
      <c r="G22" s="213"/>
      <c r="H22" s="213"/>
      <c r="I22" s="213"/>
      <c r="J22" s="214"/>
    </row>
    <row r="23" spans="1:10" x14ac:dyDescent="0.2">
      <c r="A23" s="211"/>
      <c r="B23" s="216" t="s">
        <v>436</v>
      </c>
      <c r="C23" s="213"/>
      <c r="D23" s="213"/>
      <c r="E23" s="213"/>
      <c r="F23" s="213"/>
      <c r="G23" s="213"/>
      <c r="H23" s="213"/>
      <c r="I23" s="213"/>
      <c r="J23" s="214"/>
    </row>
    <row r="24" spans="1:10" x14ac:dyDescent="0.2">
      <c r="A24" s="232"/>
      <c r="B24" s="233"/>
      <c r="C24" s="233"/>
      <c r="D24" s="233"/>
      <c r="E24" s="233"/>
      <c r="F24" s="233"/>
      <c r="G24" s="233"/>
      <c r="H24" s="233"/>
      <c r="I24" s="233"/>
      <c r="J24" s="234"/>
    </row>
    <row r="25" spans="1:10" x14ac:dyDescent="0.2">
      <c r="A25" s="211"/>
      <c r="B25" s="437" t="s">
        <v>437</v>
      </c>
      <c r="C25" s="438" t="s">
        <v>438</v>
      </c>
      <c r="D25" s="435"/>
      <c r="E25" s="435"/>
      <c r="F25" s="435"/>
      <c r="G25" s="435"/>
      <c r="H25" s="435"/>
      <c r="I25" s="439" t="s">
        <v>439</v>
      </c>
      <c r="J25" s="436"/>
    </row>
    <row r="26" spans="1:10" x14ac:dyDescent="0.2">
      <c r="A26" s="211"/>
      <c r="B26" s="435"/>
      <c r="C26" s="440" t="s">
        <v>440</v>
      </c>
      <c r="D26" s="435"/>
      <c r="E26" s="435"/>
      <c r="F26" s="435"/>
      <c r="G26" s="435"/>
      <c r="H26" s="435"/>
      <c r="I26" s="435"/>
      <c r="J26" s="436"/>
    </row>
    <row r="27" spans="1:10" x14ac:dyDescent="0.2">
      <c r="A27" s="235"/>
      <c r="B27" s="236"/>
      <c r="C27" s="236"/>
      <c r="D27" s="236"/>
      <c r="E27" s="236"/>
      <c r="F27" s="236"/>
      <c r="G27" s="236"/>
      <c r="H27" s="236"/>
      <c r="I27" s="236"/>
      <c r="J27" s="237"/>
    </row>
    <row r="28" spans="1:10" x14ac:dyDescent="0.2">
      <c r="A28" s="211"/>
      <c r="B28" s="213"/>
      <c r="C28" s="213"/>
      <c r="D28" s="213"/>
      <c r="E28" s="213"/>
      <c r="F28" s="213"/>
      <c r="G28" s="213"/>
      <c r="H28" s="213"/>
      <c r="I28" s="213"/>
      <c r="J28" s="214"/>
    </row>
    <row r="29" spans="1:10" x14ac:dyDescent="0.2">
      <c r="A29" s="211"/>
      <c r="B29" s="216" t="s">
        <v>441</v>
      </c>
      <c r="C29" s="213"/>
      <c r="D29" s="213"/>
      <c r="E29" s="213"/>
      <c r="F29" s="213"/>
      <c r="G29" s="213"/>
      <c r="H29" s="213"/>
      <c r="I29" s="213"/>
      <c r="J29" s="214"/>
    </row>
    <row r="30" spans="1:10" x14ac:dyDescent="0.2">
      <c r="A30" s="211"/>
      <c r="B30" s="213"/>
      <c r="C30" s="213"/>
      <c r="D30" s="213"/>
      <c r="E30" s="213"/>
      <c r="F30" s="213"/>
      <c r="G30" s="213"/>
      <c r="H30" s="213"/>
      <c r="I30" s="213"/>
      <c r="J30" s="214"/>
    </row>
    <row r="31" spans="1:10" x14ac:dyDescent="0.2">
      <c r="A31" s="211"/>
      <c r="B31" s="437" t="s">
        <v>442</v>
      </c>
      <c r="C31" s="441">
        <f>(1+(E8+E12))*(1+E10)*(1+E21)</f>
        <v>1.1696</v>
      </c>
      <c r="D31" s="442"/>
      <c r="E31" s="442"/>
      <c r="F31" s="217"/>
      <c r="G31" s="217" t="s">
        <v>268</v>
      </c>
      <c r="H31" s="213">
        <v>1</v>
      </c>
      <c r="I31" s="220" t="s">
        <v>443</v>
      </c>
      <c r="J31" s="238">
        <f>ROUND((C31/C32)-1,4)+0.0001</f>
        <v>0.30909999999999999</v>
      </c>
    </row>
    <row r="32" spans="1:10" x14ac:dyDescent="0.2">
      <c r="A32" s="211"/>
      <c r="B32" s="435"/>
      <c r="C32" s="443">
        <f>ABS(1-(E17+E19))</f>
        <v>0.89349999999999996</v>
      </c>
      <c r="D32" s="435"/>
      <c r="E32" s="435"/>
      <c r="F32" s="213"/>
      <c r="G32" s="213"/>
      <c r="H32" s="213"/>
      <c r="I32" s="213"/>
      <c r="J32" s="214"/>
    </row>
    <row r="33" spans="1:10" x14ac:dyDescent="0.2">
      <c r="A33" s="211"/>
      <c r="B33" s="213"/>
      <c r="C33" s="213"/>
      <c r="D33" s="213"/>
      <c r="E33" s="213"/>
      <c r="F33" s="213"/>
      <c r="G33" s="213"/>
      <c r="H33" s="213"/>
      <c r="I33" s="213"/>
      <c r="J33" s="214"/>
    </row>
    <row r="34" spans="1:10" x14ac:dyDescent="0.2">
      <c r="A34" s="211"/>
      <c r="B34" s="213"/>
      <c r="C34" s="213"/>
      <c r="D34" s="213"/>
      <c r="E34" s="213"/>
      <c r="F34" s="213"/>
      <c r="G34" s="213"/>
      <c r="H34" s="213"/>
      <c r="I34" s="213"/>
      <c r="J34" s="214"/>
    </row>
    <row r="35" spans="1:10" ht="15.75" x14ac:dyDescent="0.25">
      <c r="A35" s="239" t="s">
        <v>444</v>
      </c>
      <c r="B35" s="240"/>
      <c r="C35" s="240"/>
      <c r="D35" s="240"/>
      <c r="E35" s="241"/>
      <c r="F35" s="444">
        <f>J31</f>
        <v>0.30909999999999999</v>
      </c>
      <c r="G35" s="435"/>
      <c r="H35" s="435"/>
      <c r="I35" s="435"/>
      <c r="J35" s="436"/>
    </row>
    <row r="36" spans="1:10" x14ac:dyDescent="0.2">
      <c r="A36" s="211"/>
      <c r="B36" s="213"/>
      <c r="C36" s="213"/>
      <c r="D36" s="213"/>
      <c r="E36" s="213"/>
      <c r="F36" s="213"/>
      <c r="G36" s="213"/>
      <c r="H36" s="213"/>
      <c r="I36" s="213"/>
      <c r="J36" s="214"/>
    </row>
    <row r="37" spans="1:10" x14ac:dyDescent="0.2">
      <c r="A37" s="211"/>
      <c r="B37" s="213"/>
      <c r="C37" s="242" t="str">
        <f>PLANILHA!H12</f>
        <v>DATA: 05/07/2023</v>
      </c>
      <c r="D37" s="213"/>
      <c r="E37" s="213"/>
      <c r="F37" s="213"/>
      <c r="G37" s="213"/>
      <c r="H37" s="243"/>
      <c r="I37" s="213"/>
      <c r="J37" s="214"/>
    </row>
    <row r="38" spans="1:10" x14ac:dyDescent="0.2">
      <c r="A38" s="211"/>
      <c r="B38" s="213"/>
      <c r="C38" s="213"/>
      <c r="D38" s="213"/>
      <c r="E38" s="213"/>
      <c r="F38" s="213"/>
      <c r="G38" s="213"/>
      <c r="H38" s="213"/>
      <c r="I38" s="213"/>
      <c r="J38" s="214"/>
    </row>
    <row r="39" spans="1:10" x14ac:dyDescent="0.2">
      <c r="A39" s="211"/>
      <c r="B39" s="445" t="s">
        <v>445</v>
      </c>
      <c r="C39" s="435"/>
      <c r="D39" s="435"/>
      <c r="E39" s="435"/>
      <c r="F39" s="435"/>
      <c r="G39" s="435"/>
      <c r="H39" s="435"/>
      <c r="I39" s="435"/>
      <c r="J39" s="436"/>
    </row>
    <row r="40" spans="1:10" x14ac:dyDescent="0.2">
      <c r="A40" s="211"/>
      <c r="B40" s="435"/>
      <c r="C40" s="435"/>
      <c r="D40" s="435"/>
      <c r="E40" s="435"/>
      <c r="F40" s="435"/>
      <c r="G40" s="435"/>
      <c r="H40" s="435"/>
      <c r="I40" s="435"/>
      <c r="J40" s="436"/>
    </row>
    <row r="41" spans="1:10" ht="13.5" thickBot="1" x14ac:dyDescent="0.25">
      <c r="A41" s="244"/>
      <c r="B41" s="245"/>
      <c r="C41" s="245"/>
      <c r="D41" s="245"/>
      <c r="E41" s="245"/>
      <c r="F41" s="245"/>
      <c r="G41" s="245"/>
      <c r="H41" s="245"/>
      <c r="I41" s="245"/>
      <c r="J41" s="246"/>
    </row>
    <row r="42" spans="1:10" ht="13.5" thickTop="1" x14ac:dyDescent="0.2"/>
  </sheetData>
  <mergeCells count="17">
    <mergeCell ref="B31:B32"/>
    <mergeCell ref="C31:E31"/>
    <mergeCell ref="C32:E32"/>
    <mergeCell ref="F35:J35"/>
    <mergeCell ref="B39:J40"/>
    <mergeCell ref="E19:F19"/>
    <mergeCell ref="E21:F21"/>
    <mergeCell ref="B25:B26"/>
    <mergeCell ref="C25:H25"/>
    <mergeCell ref="I25:J26"/>
    <mergeCell ref="C26:H26"/>
    <mergeCell ref="E17:F17"/>
    <mergeCell ref="A1:J1"/>
    <mergeCell ref="B4:J4"/>
    <mergeCell ref="E8:F8"/>
    <mergeCell ref="E10:F10"/>
    <mergeCell ref="E12:F12"/>
  </mergeCell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60"/>
  <sheetViews>
    <sheetView view="pageBreakPreview" zoomScaleSheetLayoutView="100" workbookViewId="0">
      <selection activeCell="C23" sqref="C23:E23"/>
    </sheetView>
  </sheetViews>
  <sheetFormatPr defaultColWidth="9.140625" defaultRowHeight="12.75" x14ac:dyDescent="0.2"/>
  <cols>
    <col min="1" max="1" width="3.140625" style="33" customWidth="1"/>
    <col min="2" max="2" width="4.5703125" style="33" customWidth="1"/>
    <col min="3" max="3" width="22.5703125" style="33" customWidth="1"/>
    <col min="4" max="4" width="17.85546875" style="33" customWidth="1"/>
    <col min="5" max="5" width="23" style="33" customWidth="1"/>
    <col min="6" max="6" width="14.28515625" style="33" customWidth="1"/>
    <col min="7" max="7" width="9.140625" style="33"/>
    <col min="8" max="8" width="23.5703125" style="33" customWidth="1"/>
    <col min="9" max="9" width="13.28515625" style="33" customWidth="1"/>
    <col min="10" max="10" width="13.85546875" style="33" customWidth="1"/>
    <col min="11" max="11" width="12.7109375" style="33" customWidth="1"/>
    <col min="12" max="12" width="13.5703125" style="33" customWidth="1"/>
    <col min="13" max="13" width="13.140625" style="33" customWidth="1"/>
    <col min="14" max="14" width="9.140625" style="33"/>
    <col min="15" max="15" width="10.5703125" style="33" bestFit="1" customWidth="1"/>
    <col min="16" max="16" width="11" style="33" bestFit="1" customWidth="1"/>
    <col min="17" max="17" width="8.5703125" style="33" bestFit="1" customWidth="1"/>
    <col min="18" max="16384" width="9.140625" style="33"/>
  </cols>
  <sheetData>
    <row r="1" spans="2:14" ht="13.5" thickBot="1" x14ac:dyDescent="0.25"/>
    <row r="2" spans="2:14" ht="15" customHeight="1" x14ac:dyDescent="0.2">
      <c r="B2" s="446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8"/>
    </row>
    <row r="3" spans="2:14" ht="15" customHeight="1" x14ac:dyDescent="0.2">
      <c r="B3" s="449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1"/>
    </row>
    <row r="4" spans="2:14" ht="15" customHeight="1" x14ac:dyDescent="0.2">
      <c r="B4" s="449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1"/>
    </row>
    <row r="5" spans="2:14" ht="15" customHeight="1" x14ac:dyDescent="0.2">
      <c r="B5" s="449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1"/>
    </row>
    <row r="6" spans="2:14" ht="34.5" customHeight="1" thickBot="1" x14ac:dyDescent="0.25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4"/>
    </row>
    <row r="7" spans="2:14" ht="18.75" customHeight="1" x14ac:dyDescent="0.2">
      <c r="B7" s="455" t="s">
        <v>30</v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7"/>
    </row>
    <row r="8" spans="2:14" ht="3.75" customHeight="1" x14ac:dyDescent="0.2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60"/>
    </row>
    <row r="9" spans="2:14" ht="31.5" customHeight="1" x14ac:dyDescent="0.2">
      <c r="B9" s="461" t="s">
        <v>62</v>
      </c>
      <c r="C9" s="462"/>
      <c r="D9" s="462"/>
      <c r="E9" s="462"/>
      <c r="F9" s="463"/>
      <c r="G9" s="464" t="s">
        <v>58</v>
      </c>
      <c r="H9" s="465"/>
      <c r="I9" s="465"/>
      <c r="J9" s="466"/>
      <c r="K9" s="467" t="s">
        <v>59</v>
      </c>
      <c r="L9" s="467"/>
      <c r="M9" s="468" t="s">
        <v>31</v>
      </c>
      <c r="N9" s="34"/>
    </row>
    <row r="10" spans="2:14" ht="18" customHeight="1" x14ac:dyDescent="0.25">
      <c r="B10" s="469" t="s">
        <v>57</v>
      </c>
      <c r="C10" s="470"/>
      <c r="D10" s="470"/>
      <c r="E10" s="470"/>
      <c r="F10" s="470"/>
      <c r="G10" s="470"/>
      <c r="H10" s="471"/>
      <c r="I10" s="475" t="s">
        <v>65</v>
      </c>
      <c r="J10" s="476"/>
      <c r="K10" s="476"/>
      <c r="L10" s="477"/>
      <c r="M10" s="468"/>
      <c r="N10" s="35"/>
    </row>
    <row r="11" spans="2:14" ht="18" customHeight="1" x14ac:dyDescent="0.2">
      <c r="B11" s="472"/>
      <c r="C11" s="473"/>
      <c r="D11" s="473"/>
      <c r="E11" s="473"/>
      <c r="F11" s="473"/>
      <c r="G11" s="473"/>
      <c r="H11" s="474"/>
      <c r="I11" s="475" t="s">
        <v>66</v>
      </c>
      <c r="J11" s="476"/>
      <c r="K11" s="476"/>
      <c r="L11" s="476"/>
      <c r="M11" s="478"/>
    </row>
    <row r="12" spans="2:14" ht="24" customHeight="1" x14ac:dyDescent="0.2">
      <c r="B12" s="490" t="s">
        <v>60</v>
      </c>
      <c r="C12" s="491"/>
      <c r="D12" s="492"/>
      <c r="E12" s="501" t="s">
        <v>63</v>
      </c>
      <c r="F12" s="502"/>
      <c r="G12" s="501" t="s">
        <v>64</v>
      </c>
      <c r="H12" s="502"/>
      <c r="I12" s="499" t="s">
        <v>32</v>
      </c>
      <c r="J12" s="499" t="s">
        <v>33</v>
      </c>
      <c r="K12" s="499" t="s">
        <v>34</v>
      </c>
      <c r="L12" s="499"/>
      <c r="M12" s="479" t="s">
        <v>35</v>
      </c>
    </row>
    <row r="13" spans="2:14" ht="12.75" customHeight="1" x14ac:dyDescent="0.2">
      <c r="B13" s="493"/>
      <c r="C13" s="494"/>
      <c r="D13" s="495"/>
      <c r="E13" s="503"/>
      <c r="F13" s="504"/>
      <c r="G13" s="503"/>
      <c r="H13" s="504"/>
      <c r="I13" s="500"/>
      <c r="J13" s="500"/>
      <c r="K13" s="500"/>
      <c r="L13" s="500"/>
      <c r="M13" s="480"/>
    </row>
    <row r="14" spans="2:14" ht="15" customHeight="1" x14ac:dyDescent="0.2">
      <c r="B14" s="496"/>
      <c r="C14" s="497"/>
      <c r="D14" s="498"/>
      <c r="E14" s="505"/>
      <c r="F14" s="506"/>
      <c r="G14" s="505"/>
      <c r="H14" s="506"/>
      <c r="I14" s="36">
        <v>399179.66</v>
      </c>
      <c r="J14" s="37">
        <f>I14</f>
        <v>399179.66</v>
      </c>
      <c r="K14" s="481">
        <f>L25</f>
        <v>31771.119999999999</v>
      </c>
      <c r="L14" s="481"/>
      <c r="M14" s="38">
        <f>J14-K14</f>
        <v>367408.54</v>
      </c>
    </row>
    <row r="15" spans="2:14" ht="15" customHeight="1" x14ac:dyDescent="0.2">
      <c r="B15" s="482" t="s">
        <v>10</v>
      </c>
      <c r="C15" s="484" t="s">
        <v>36</v>
      </c>
      <c r="D15" s="484"/>
      <c r="E15" s="484"/>
      <c r="F15" s="486" t="s">
        <v>37</v>
      </c>
      <c r="G15" s="484" t="s">
        <v>38</v>
      </c>
      <c r="H15" s="484"/>
      <c r="I15" s="484"/>
      <c r="J15" s="484" t="s">
        <v>39</v>
      </c>
      <c r="K15" s="489" t="s">
        <v>40</v>
      </c>
      <c r="L15" s="484" t="s">
        <v>41</v>
      </c>
      <c r="M15" s="507"/>
    </row>
    <row r="16" spans="2:14" x14ac:dyDescent="0.2">
      <c r="B16" s="482"/>
      <c r="C16" s="484"/>
      <c r="D16" s="484"/>
      <c r="E16" s="484"/>
      <c r="F16" s="487"/>
      <c r="G16" s="484" t="s">
        <v>42</v>
      </c>
      <c r="H16" s="484" t="s">
        <v>43</v>
      </c>
      <c r="I16" s="484" t="s">
        <v>44</v>
      </c>
      <c r="J16" s="484"/>
      <c r="K16" s="484"/>
      <c r="L16" s="484"/>
      <c r="M16" s="507"/>
    </row>
    <row r="17" spans="2:16" ht="23.25" customHeight="1" x14ac:dyDescent="0.2">
      <c r="B17" s="483"/>
      <c r="C17" s="485"/>
      <c r="D17" s="485"/>
      <c r="E17" s="485"/>
      <c r="F17" s="488"/>
      <c r="G17" s="485"/>
      <c r="H17" s="485"/>
      <c r="I17" s="485"/>
      <c r="J17" s="485"/>
      <c r="K17" s="485"/>
      <c r="L17" s="39" t="s">
        <v>43</v>
      </c>
      <c r="M17" s="40" t="s">
        <v>44</v>
      </c>
    </row>
    <row r="18" spans="2:16" ht="18" customHeight="1" x14ac:dyDescent="0.2">
      <c r="B18" s="41">
        <v>1</v>
      </c>
      <c r="C18" s="550" t="str">
        <f>PLANILHA!E20</f>
        <v>SERVIÇOS PRELIMINARES</v>
      </c>
      <c r="D18" s="551"/>
      <c r="E18" s="552"/>
      <c r="F18" s="42"/>
      <c r="G18" s="43"/>
      <c r="H18" s="43"/>
      <c r="I18" s="43"/>
      <c r="J18" s="44"/>
      <c r="K18" s="43"/>
      <c r="L18" s="45"/>
      <c r="M18" s="46"/>
      <c r="N18" s="47"/>
      <c r="O18" s="47"/>
      <c r="P18" s="48" t="e">
        <f>SUM(#REF!)</f>
        <v>#REF!</v>
      </c>
    </row>
    <row r="19" spans="2:16" ht="36.75" customHeight="1" x14ac:dyDescent="0.2">
      <c r="B19" s="49" t="s">
        <v>4</v>
      </c>
      <c r="C19" s="512" t="str">
        <f>PLANILHA!E21</f>
        <v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v>
      </c>
      <c r="D19" s="513"/>
      <c r="E19" s="514"/>
      <c r="F19" s="50">
        <f>PLANILHA!G21</f>
        <v>1</v>
      </c>
      <c r="G19" s="51">
        <v>0</v>
      </c>
      <c r="H19" s="52">
        <v>2250</v>
      </c>
      <c r="I19" s="51">
        <f t="shared" ref="I19:I24" si="0">G19+H19</f>
        <v>2250</v>
      </c>
      <c r="J19" s="53" t="str">
        <f>PLANILHA!F21</f>
        <v xml:space="preserve">un </v>
      </c>
      <c r="K19" s="53">
        <v>0</v>
      </c>
      <c r="L19" s="53">
        <f t="shared" ref="L19:L24" si="1">ROUND(H19*K19,2)</f>
        <v>0</v>
      </c>
      <c r="M19" s="54">
        <f t="shared" ref="M19:M24" si="2">ROUND(I19*K19,2)</f>
        <v>0</v>
      </c>
      <c r="N19" s="55"/>
      <c r="O19" s="47"/>
      <c r="P19" s="47"/>
    </row>
    <row r="20" spans="2:16" ht="36.75" customHeight="1" x14ac:dyDescent="0.2">
      <c r="B20" s="49" t="s">
        <v>3</v>
      </c>
      <c r="C20" s="512" t="e">
        <f>PLANILHA!#REF!</f>
        <v>#REF!</v>
      </c>
      <c r="D20" s="513"/>
      <c r="E20" s="514"/>
      <c r="F20" s="50" t="e">
        <f>PLANILHA!#REF!</f>
        <v>#REF!</v>
      </c>
      <c r="G20" s="51">
        <v>0</v>
      </c>
      <c r="H20" s="52">
        <v>15000</v>
      </c>
      <c r="I20" s="51">
        <f t="shared" si="0"/>
        <v>15000</v>
      </c>
      <c r="J20" s="53" t="e">
        <f>PLANILHA!#REF!</f>
        <v>#REF!</v>
      </c>
      <c r="K20" s="53">
        <v>0</v>
      </c>
      <c r="L20" s="53">
        <f t="shared" si="1"/>
        <v>0</v>
      </c>
      <c r="M20" s="54">
        <f t="shared" si="2"/>
        <v>0</v>
      </c>
      <c r="N20" s="55"/>
      <c r="O20" s="47"/>
      <c r="P20" s="47"/>
    </row>
    <row r="21" spans="2:16" ht="60" customHeight="1" x14ac:dyDescent="0.2">
      <c r="B21" s="49" t="s">
        <v>2</v>
      </c>
      <c r="C21" s="512" t="e">
        <f>PLANILHA!#REF!</f>
        <v>#REF!</v>
      </c>
      <c r="D21" s="513"/>
      <c r="E21" s="514"/>
      <c r="F21" s="50" t="e">
        <f>PLANILHA!#REF!</f>
        <v>#REF!</v>
      </c>
      <c r="G21" s="51">
        <v>0</v>
      </c>
      <c r="H21" s="52">
        <v>2250</v>
      </c>
      <c r="I21" s="51">
        <f t="shared" si="0"/>
        <v>2250</v>
      </c>
      <c r="J21" s="53" t="e">
        <f>PLANILHA!#REF!</f>
        <v>#REF!</v>
      </c>
      <c r="K21" s="53">
        <v>0</v>
      </c>
      <c r="L21" s="53">
        <f t="shared" si="1"/>
        <v>0</v>
      </c>
      <c r="M21" s="54">
        <f t="shared" si="2"/>
        <v>0</v>
      </c>
      <c r="N21" s="55"/>
      <c r="O21" s="47"/>
      <c r="P21" s="47"/>
    </row>
    <row r="22" spans="2:16" ht="36.75" customHeight="1" x14ac:dyDescent="0.2">
      <c r="B22" s="49" t="s">
        <v>1</v>
      </c>
      <c r="C22" s="512" t="e">
        <f>PLANILHA!#REF!</f>
        <v>#REF!</v>
      </c>
      <c r="D22" s="513"/>
      <c r="E22" s="514"/>
      <c r="F22" s="50" t="e">
        <f>PLANILHA!#REF!</f>
        <v>#REF!</v>
      </c>
      <c r="G22" s="51">
        <v>0</v>
      </c>
      <c r="H22" s="52">
        <v>238.2</v>
      </c>
      <c r="I22" s="51">
        <f t="shared" si="0"/>
        <v>238.2</v>
      </c>
      <c r="J22" s="53" t="e">
        <f>PLANILHA!#REF!</f>
        <v>#REF!</v>
      </c>
      <c r="K22" s="53">
        <v>26.63</v>
      </c>
      <c r="L22" s="53">
        <f t="shared" si="1"/>
        <v>6343.27</v>
      </c>
      <c r="M22" s="54">
        <f t="shared" si="2"/>
        <v>6343.27</v>
      </c>
      <c r="N22" s="55"/>
      <c r="O22" s="47"/>
      <c r="P22" s="47"/>
    </row>
    <row r="23" spans="2:16" ht="36.75" customHeight="1" x14ac:dyDescent="0.2">
      <c r="B23" s="49" t="s">
        <v>0</v>
      </c>
      <c r="C23" s="512" t="e">
        <f>PLANILHA!#REF!</f>
        <v>#REF!</v>
      </c>
      <c r="D23" s="513"/>
      <c r="E23" s="514"/>
      <c r="F23" s="50" t="e">
        <f>PLANILHA!#REF!</f>
        <v>#REF!</v>
      </c>
      <c r="G23" s="51">
        <v>0</v>
      </c>
      <c r="H23" s="52">
        <v>5955</v>
      </c>
      <c r="I23" s="51">
        <f t="shared" si="0"/>
        <v>5955</v>
      </c>
      <c r="J23" s="53" t="e">
        <f>PLANILHA!#REF!</f>
        <v>#REF!</v>
      </c>
      <c r="K23" s="53">
        <v>3.2</v>
      </c>
      <c r="L23" s="53">
        <f t="shared" si="1"/>
        <v>19056</v>
      </c>
      <c r="M23" s="54">
        <f t="shared" si="2"/>
        <v>19056</v>
      </c>
      <c r="N23" s="55"/>
      <c r="O23" s="47"/>
      <c r="P23" s="47"/>
    </row>
    <row r="24" spans="2:16" ht="29.25" customHeight="1" x14ac:dyDescent="0.2">
      <c r="B24" s="49" t="s">
        <v>27</v>
      </c>
      <c r="C24" s="512" t="e">
        <f>PLANILHA!#REF!</f>
        <v>#REF!</v>
      </c>
      <c r="D24" s="513"/>
      <c r="E24" s="514"/>
      <c r="F24" s="50" t="e">
        <f>PLANILHA!#REF!</f>
        <v>#REF!</v>
      </c>
      <c r="G24" s="51">
        <v>0</v>
      </c>
      <c r="H24" s="52">
        <v>5955</v>
      </c>
      <c r="I24" s="51">
        <f t="shared" si="0"/>
        <v>5955</v>
      </c>
      <c r="J24" s="53" t="e">
        <f>PLANILHA!#REF!</f>
        <v>#REF!</v>
      </c>
      <c r="K24" s="53">
        <v>1.07</v>
      </c>
      <c r="L24" s="53">
        <f t="shared" si="1"/>
        <v>6371.85</v>
      </c>
      <c r="M24" s="54">
        <f t="shared" si="2"/>
        <v>6371.85</v>
      </c>
      <c r="N24" s="55"/>
      <c r="O24" s="47"/>
      <c r="P24" s="47"/>
    </row>
    <row r="25" spans="2:16" ht="16.5" customHeight="1" x14ac:dyDescent="0.2">
      <c r="B25" s="56"/>
      <c r="C25" s="515" t="s">
        <v>45</v>
      </c>
      <c r="D25" s="516"/>
      <c r="E25" s="516"/>
      <c r="F25" s="516"/>
      <c r="G25" s="516"/>
      <c r="H25" s="516"/>
      <c r="I25" s="516"/>
      <c r="J25" s="516"/>
      <c r="K25" s="517"/>
      <c r="L25" s="57">
        <f>SUM(L19:L24)</f>
        <v>31771.119999999999</v>
      </c>
      <c r="M25" s="58">
        <f>SUM(M19:M24)</f>
        <v>31771.119999999999</v>
      </c>
      <c r="O25" s="47"/>
      <c r="P25" s="48" t="e">
        <f>#REF!+#REF!+#REF!+#REF!+#REF!+#REF!+#REF!+#REF!+#REF!+#REF!+#REF!+#REF!+#REF!+#REF!+#REF!+P18</f>
        <v>#REF!</v>
      </c>
    </row>
    <row r="26" spans="2:16" ht="5.0999999999999996" customHeight="1" x14ac:dyDescent="0.2">
      <c r="B26" s="536"/>
      <c r="C26" s="537"/>
      <c r="D26" s="537"/>
      <c r="E26" s="537"/>
      <c r="F26" s="537"/>
      <c r="G26" s="537"/>
      <c r="H26" s="537"/>
      <c r="I26" s="537"/>
      <c r="J26" s="537"/>
      <c r="K26" s="537"/>
      <c r="L26" s="537"/>
      <c r="M26" s="538"/>
      <c r="O26" s="47"/>
    </row>
    <row r="27" spans="2:16" ht="20.100000000000001" customHeight="1" x14ac:dyDescent="0.2">
      <c r="B27" s="518" t="s">
        <v>61</v>
      </c>
      <c r="C27" s="519"/>
      <c r="D27" s="519"/>
      <c r="E27" s="519"/>
      <c r="F27" s="519"/>
      <c r="G27" s="519"/>
      <c r="H27" s="520"/>
      <c r="I27" s="524" t="s">
        <v>46</v>
      </c>
      <c r="J27" s="525"/>
      <c r="K27" s="526"/>
      <c r="L27" s="59" t="s">
        <v>47</v>
      </c>
      <c r="M27" s="60"/>
      <c r="O27" s="47"/>
    </row>
    <row r="28" spans="2:16" ht="20.100000000000001" customHeight="1" x14ac:dyDescent="0.2">
      <c r="B28" s="521"/>
      <c r="C28" s="522"/>
      <c r="D28" s="522"/>
      <c r="E28" s="522"/>
      <c r="F28" s="522"/>
      <c r="G28" s="522"/>
      <c r="H28" s="523"/>
      <c r="I28" s="527"/>
      <c r="J28" s="528"/>
      <c r="K28" s="529"/>
      <c r="L28" s="59" t="s">
        <v>48</v>
      </c>
      <c r="M28" s="60"/>
      <c r="O28" s="47"/>
    </row>
    <row r="29" spans="2:16" ht="16.5" customHeight="1" x14ac:dyDescent="0.2">
      <c r="B29" s="539" t="s">
        <v>49</v>
      </c>
      <c r="C29" s="540"/>
      <c r="D29" s="543" t="s">
        <v>50</v>
      </c>
      <c r="E29" s="544"/>
      <c r="F29" s="545"/>
      <c r="G29" s="549" t="s">
        <v>51</v>
      </c>
      <c r="H29" s="540"/>
      <c r="I29" s="530" t="s">
        <v>52</v>
      </c>
      <c r="J29" s="531"/>
      <c r="K29" s="532"/>
      <c r="L29" s="508" t="s">
        <v>53</v>
      </c>
      <c r="M29" s="509"/>
      <c r="O29" s="47"/>
    </row>
    <row r="30" spans="2:16" ht="16.5" customHeight="1" x14ac:dyDescent="0.2">
      <c r="B30" s="541"/>
      <c r="C30" s="542"/>
      <c r="D30" s="546"/>
      <c r="E30" s="547"/>
      <c r="F30" s="548"/>
      <c r="G30" s="508"/>
      <c r="H30" s="542"/>
      <c r="I30" s="533"/>
      <c r="J30" s="534"/>
      <c r="K30" s="535"/>
      <c r="L30" s="510"/>
      <c r="M30" s="511"/>
      <c r="O30" s="47"/>
    </row>
    <row r="31" spans="2:16" ht="16.5" customHeight="1" x14ac:dyDescent="0.2">
      <c r="B31" s="553"/>
      <c r="C31" s="554"/>
      <c r="D31" s="555"/>
      <c r="E31" s="556"/>
      <c r="F31" s="554"/>
      <c r="G31" s="555"/>
      <c r="H31" s="554"/>
      <c r="I31" s="557"/>
      <c r="J31" s="558"/>
      <c r="K31" s="559"/>
      <c r="L31" s="560">
        <f>L25</f>
        <v>31771.119999999999</v>
      </c>
      <c r="M31" s="561"/>
      <c r="O31" s="47"/>
    </row>
    <row r="32" spans="2:16" ht="6.75" customHeight="1" x14ac:dyDescent="0.2">
      <c r="B32" s="553"/>
      <c r="C32" s="554"/>
      <c r="D32" s="555"/>
      <c r="E32" s="556"/>
      <c r="F32" s="554"/>
      <c r="G32" s="555"/>
      <c r="H32" s="554"/>
      <c r="I32" s="557"/>
      <c r="J32" s="558"/>
      <c r="K32" s="559"/>
      <c r="L32" s="560"/>
      <c r="M32" s="561"/>
      <c r="O32" s="47"/>
    </row>
    <row r="33" spans="2:15" ht="12.75" customHeight="1" x14ac:dyDescent="0.2">
      <c r="B33" s="564" t="s">
        <v>54</v>
      </c>
      <c r="C33" s="565"/>
      <c r="D33" s="557" t="s">
        <v>55</v>
      </c>
      <c r="E33" s="558"/>
      <c r="F33" s="559"/>
      <c r="G33" s="571" t="s">
        <v>55</v>
      </c>
      <c r="H33" s="565"/>
      <c r="I33" s="571" t="s">
        <v>56</v>
      </c>
      <c r="J33" s="573"/>
      <c r="K33" s="565"/>
      <c r="L33" s="560"/>
      <c r="M33" s="561"/>
      <c r="O33" s="47"/>
    </row>
    <row r="34" spans="2:15" ht="4.5" customHeight="1" thickBot="1" x14ac:dyDescent="0.25">
      <c r="B34" s="566"/>
      <c r="C34" s="567"/>
      <c r="D34" s="568"/>
      <c r="E34" s="569"/>
      <c r="F34" s="570"/>
      <c r="G34" s="572"/>
      <c r="H34" s="567"/>
      <c r="I34" s="572"/>
      <c r="J34" s="574"/>
      <c r="K34" s="567"/>
      <c r="L34" s="562"/>
      <c r="M34" s="563"/>
      <c r="O34" s="47"/>
    </row>
    <row r="54" spans="10:10" x14ac:dyDescent="0.2">
      <c r="J54" s="47"/>
    </row>
    <row r="55" spans="10:10" x14ac:dyDescent="0.2">
      <c r="J55" s="47"/>
    </row>
    <row r="56" spans="10:10" x14ac:dyDescent="0.2">
      <c r="J56" s="47"/>
    </row>
    <row r="57" spans="10:10" x14ac:dyDescent="0.2">
      <c r="J57" s="47"/>
    </row>
    <row r="58" spans="10:10" x14ac:dyDescent="0.2">
      <c r="J58" s="47"/>
    </row>
    <row r="59" spans="10:10" x14ac:dyDescent="0.2">
      <c r="J59" s="47"/>
    </row>
    <row r="60" spans="10:10" x14ac:dyDescent="0.2">
      <c r="J60" s="47"/>
    </row>
  </sheetData>
  <mergeCells count="53">
    <mergeCell ref="B31:C32"/>
    <mergeCell ref="D31:F32"/>
    <mergeCell ref="G31:H32"/>
    <mergeCell ref="I31:K32"/>
    <mergeCell ref="L31:M34"/>
    <mergeCell ref="B33:C34"/>
    <mergeCell ref="D33:F34"/>
    <mergeCell ref="G33:H34"/>
    <mergeCell ref="I33:K34"/>
    <mergeCell ref="H16:H17"/>
    <mergeCell ref="I16:I17"/>
    <mergeCell ref="C21:E21"/>
    <mergeCell ref="C22:E22"/>
    <mergeCell ref="C23:E23"/>
    <mergeCell ref="C18:E18"/>
    <mergeCell ref="C19:E19"/>
    <mergeCell ref="C20:E20"/>
    <mergeCell ref="L29:M30"/>
    <mergeCell ref="C24:E24"/>
    <mergeCell ref="C25:K25"/>
    <mergeCell ref="B27:H28"/>
    <mergeCell ref="I27:K28"/>
    <mergeCell ref="I29:K30"/>
    <mergeCell ref="B26:M26"/>
    <mergeCell ref="B29:C30"/>
    <mergeCell ref="D29:F30"/>
    <mergeCell ref="G29:H30"/>
    <mergeCell ref="M12:M13"/>
    <mergeCell ref="K14:L14"/>
    <mergeCell ref="B15:B17"/>
    <mergeCell ref="C15:E17"/>
    <mergeCell ref="F15:F17"/>
    <mergeCell ref="G15:I15"/>
    <mergeCell ref="J15:J17"/>
    <mergeCell ref="K15:K17"/>
    <mergeCell ref="B12:D14"/>
    <mergeCell ref="I12:I13"/>
    <mergeCell ref="J12:J13"/>
    <mergeCell ref="K12:L13"/>
    <mergeCell ref="E12:F14"/>
    <mergeCell ref="G12:H14"/>
    <mergeCell ref="L15:M16"/>
    <mergeCell ref="G16:G17"/>
    <mergeCell ref="B2:M6"/>
    <mergeCell ref="B7:M7"/>
    <mergeCell ref="B8:M8"/>
    <mergeCell ref="B9:F9"/>
    <mergeCell ref="G9:J9"/>
    <mergeCell ref="K9:L9"/>
    <mergeCell ref="M9:M10"/>
    <mergeCell ref="B10:H11"/>
    <mergeCell ref="I10:L10"/>
    <mergeCell ref="I11:M11"/>
  </mergeCells>
  <conditionalFormatting sqref="C19:C24">
    <cfRule type="expression" dxfId="5" priority="7" stopIfTrue="1">
      <formula>$Q19=1</formula>
    </cfRule>
    <cfRule type="expression" dxfId="4" priority="8" stopIfTrue="1">
      <formula>$R19=2</formula>
    </cfRule>
    <cfRule type="expression" dxfId="3" priority="9" stopIfTrue="1">
      <formula>$R19=3</formula>
    </cfRule>
  </conditionalFormatting>
  <conditionalFormatting sqref="C18">
    <cfRule type="expression" dxfId="2" priority="4" stopIfTrue="1">
      <formula>$Q18=1</formula>
    </cfRule>
    <cfRule type="expression" dxfId="1" priority="5" stopIfTrue="1">
      <formula>$R18=2</formula>
    </cfRule>
    <cfRule type="expression" dxfId="0" priority="6" stopIfTrue="1">
      <formula>$R18=3</formula>
    </cfRule>
  </conditionalFormatting>
  <printOptions horizontalCentered="1"/>
  <pageMargins left="0" right="0" top="0.59055118110236227" bottom="0" header="0" footer="0"/>
  <pageSetup paperSize="9" scale="80" orientation="landscape" r:id="rId1"/>
  <colBreaks count="1" manualBreakCount="1">
    <brk id="13" max="1048575" man="1"/>
  </colBreaks>
  <drawing r:id="rId2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ZWKyU9g9P5f0dg6Yn91c8R675Lit3oUmEqGyFBrr5kQ=</DigestValue>
    </Reference>
    <Reference Type="http://www.w3.org/2000/09/xmldsig#Object" URI="#idOfficeObject">
      <DigestMethod Algorithm="http://www.w3.org/2001/04/xmlenc#sha256"/>
      <DigestValue>mJZzzLwZcczaboovzAG51OzzX2zag++RKG/dvPhRHcE=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oozaTKy7PMsUDo0kIi0dedbFZc1NGp8ak8B4I8snjCI=</DigestValue>
    </Reference>
  </SignedInfo>
  <SignatureValue>jeGF0ZNyhijaNeTuYYr2pKdNZoffUUetRBkWJVILYg50uiS2+brXB3q0vLsQRa2mHl/bcnCONLag
8U3T65WIrqF6nB6i4YT5P7wOPUL5hW98lvZmb2Jm+9UWPPKN7whPmcYSM0Xk5+gpjLo9rZEgbwQc
q7plaWL9CPDUi8B3c/C16ZXEIK1zzJvj0kxtCvalJ0T72xYZSBV8Nn5KYtNXm5q0zwxZSOcYMKHR
ahXUzN8sPFVHQ6xf3p7alRc4wLb8U8rYBTFcguFe2nuPxLHfDJHlVzpC+Fblgwt/BHOpV8L2mhRN
zead6vlYg9N7IkYKdcZW6hTldIQrCWKphe9LBw==</SignatureValue>
  <KeyInfo>
    <X509Data>
      <X509Certificate>MIIHGDCCBQCgAwIBAgIIIHMhARlH4zUwDQYJKoZIhvcNAQELBQAwWTELMAkGA1UEBhMCQlIxEzARBgNVBAoTCklDUC1CcmFzaWwxFTATBgNVBAsTDEFDIFNPTFVUSSB2NTEeMBwGA1UEAxMVQUMgU09MVVRJIE11bHRpcGxhIHY1MB4XDTIxMDExOTE3MTgwMFoXDTI0MDExOTE3MTgwMFowgb8xCzAJBgNVBAYTAkJSMRMwEQYDVQQKEwpJQ1AtQnJhc2lsMR4wHAYDVQQLExVBQyBTT0xVVEkgTXVsdGlwbGEgdjUxFzAVBgNVBAsTDjI5MTg2NjEyMDAwMTAwMRMwEQYDVQQLEwpQcmVzZW5jaWFsMRowGAYDVQQLExFDZXJ0aWZpY2FkbyBQRiBBMzExMC8GA1UEAxMoSk9TRSBFRFVBUkRPIERFIFBBVUxBIFJBQkVMTzo2ODk5MDQ0ODYyMDCCASIwDQYJKoZIhvcNAQEBBQADggEPADCCAQoCggEBANJUkjnp4Py48EAsCnHOmr0lURnuI+9zu9CVjH5VwSrhYhbGRh53q6lq57rNsyJ0k41ytfKBT9drOvoSX51dCCkfQ2kNm7V1WKbjSfrqufYrOIwhnXavPOf1NNo1rUERgr8B8eG4wRX+yb3GpFzkV5DlEf0qnY/p6xQnIwRX1qgeQhbPCTPyQ3ki/WButl6NWttXW5dc1ZFlsIRhyTTJBfkPkCx7137Jftp8ZGhOLXpJNyOnLam3+aQw7z4MC14lF21ZhEL5MxCs4CIcdwLouqIn6lpsOsAA3v7nh0kPLB7aGqoskiwgHIeAfqbsT8wlk/8rjxlRjw8Ea0Zdkc+B4j0CAwEAAaOCAnswggJ3MAkGA1UdEwQCMAAwHwYDVR0jBBgwFoAUxVLtJYAJ35yCyJ9Hxt20XzHdubEwVAYIKwYBBQUHAQEESDBGMEQGCCsGAQUFBzAChjhodHRwOi8vY2NkLmFjc29sdXRpLmNvbS5ici9sY3IvYWMtc29sdXRpLW11bHRpcGxhLXY1LnA3YjCBqgYDVR0RBIGiMIGfgSpnYWJpbmV0ZUBjb3V0b2RlbWFnYWxoYWVzZGVtaW5hcy5tZy5nb3YuYnKgOAYFYEwBAwGgLxMtMjAxMDE5Njg2ODk5MDQ0ODYyMDAwMDAwMDAwMDAwMDAwMDAwMDAwMDAwMDAwoBcGBWBMAQMGoA4TDDAwMDAwMDAwMDAwMKAeBgVgTAEDBaAVExMwMDAwMDAwMDAwMDAwMDAwMDAwMF0GA1UdIARWMFQwUgYGYEwBAgMlMEgwRgYIKwYBBQUHAgEWOmh0dHA6Ly9jY2QuYWNzb2x1dGkuY29tLmJyL2RvY3MvZHBjLWFjLXNvbHV0aS1tdWx0aXBsYS5wZGYwKQYDVR0lBCIwIAYIKwYBBQUHAwIGCCsGAQUFBwMEBgorBgEEAYI3FAICMIGMBgNVHR8EgYQwgYEwPqA8oDqGOGh0dHA6Ly9jY2QuYWNzb2x1dGkuY29tLmJyL2xjci9hYy1zb2x1dGktbXVsdGlwbGEtdjUuY3JsMD+gPaA7hjlodHRwOi8vY2NkMi5hY3NvbHV0aS5jb20uYnIvbGNyL2FjLXNvbHV0aS1tdWx0aXBsYS12NS5jcmwwHQYDVR0OBBYEFPvk7obD5bgdWqSP1fLPkoeX3jvSMA4GA1UdDwEB/wQEAwIF4DANBgkqhkiG9w0BAQsFAAOCAgEAQUG2Zx/n3Zjd1n81xsRLdUXYSYG1+DPDU3PPfqO62lCkPTtZ+NTjcCt1PBMNWLyTUdj/JMQMRO7SlFZQ/QZ3VYjahhWECW2pK/z939lQSeedpBUCEFvhHD+td7lDDjMG53tJKlmzMlgDM1IBZ0MK0Hj4QulUz95JsxVsokATx+SQ9HGG2tmEZOIi8paWTfgd9eBxz8NtiNBQ7N/JVmvTWgifa3ca+5nIZrAwNAq/maNYd8wJegRHEpf1coxWJt5PLM5stpKbbfjGn3itV/HuR73X0Tr0fbM34AKBZ6KWKsRwWWfXg3P+zv5CdtaHPRCwx2EzNm9yuXuWF0ckMtzBfq7RbPlnpcAhg4nLs/wHwI+d+DcMGRJ4FD31msRN8wljdtpeaj24mwpKjqu/jpWs+gAGtGqW+g7I8kWtKTPOZSBvUaY9/I0beWG1Qt1VKbsV51yY9reurk+BMfn7vt8OQWTjmbUg+6mIbXJZyd/3TdZRTD4cIEhCfVWSOcqInjM/d1wCuNonRUJVd3FXweMNUfBU65miOkcOdMt0mX3JlehytEUJrp6sRxqiWLFkSCbIFEZfVzFu/iSLfSHNbMXnimsJZXgrXHcmteij38Qh6RrXzHuv6MPBqRc5n8yVilvw2+qZWM63rx4puKzzYI7Vdp0JvNopA28x31x1ZCqYQg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y/t0URpQZkHqrDftya4zMJKSZmr39o0AvLkpAp4/jCw=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8j3pe7mg3Uo1mW+UclCsYddhSA0wJ4miKmFAFXMAroY=</DigestValue>
      </Reference>
      <Reference URI="/xl/drawings/drawing1.xml?ContentType=application/vnd.openxmlformats-officedocument.drawing+xml">
        <DigestMethod Algorithm="http://www.w3.org/2001/04/xmlenc#sha256"/>
        <DigestValue>VbeIWfrSz2kUDdGnzlHwvye8CSV9PK0IxuPeIsyFzZc=</DigestValue>
      </Reference>
      <Reference URI="/xl/drawings/drawing2.xml?ContentType=application/vnd.openxmlformats-officedocument.drawing+xml">
        <DigestMethod Algorithm="http://www.w3.org/2001/04/xmlenc#sha256"/>
        <DigestValue>mLRSyqa0sKGPSF7jSDCWHShKvg68q0WwBwxrPYNoBqE=</DigestValue>
      </Reference>
      <Reference URI="/xl/drawings/drawing3.xml?ContentType=application/vnd.openxmlformats-officedocument.drawing+xml">
        <DigestMethod Algorithm="http://www.w3.org/2001/04/xmlenc#sha256"/>
        <DigestValue>iMFcOBY9+7KZLxuJ3qJia0crASByI/hZvO4O5W6yY0U=</DigestValue>
      </Reference>
      <Reference URI="/xl/drawings/drawing4.xml?ContentType=application/vnd.openxmlformats-officedocument.drawing+xml">
        <DigestMethod Algorithm="http://www.w3.org/2001/04/xmlenc#sha256"/>
        <DigestValue>FgqXLw7hrXHjVQEDo1WxgfOOPcIpyuenp8qiGhI/IGU=</DigestValue>
      </Reference>
      <Reference URI="/xl/drawings/drawing5.xml?ContentType=application/vnd.openxmlformats-officedocument.drawing+xml">
        <DigestMethod Algorithm="http://www.w3.org/2001/04/xmlenc#sha256"/>
        <DigestValue>EXHj+LktO8yKB3VGn8/jkkFT4Y1CdabZLIh79eIqKAw=</DigestValue>
      </Reference>
      <Reference URI="/xl/media/image1.png?ContentType=image/png">
        <DigestMethod Algorithm="http://www.w3.org/2001/04/xmlenc#sha256"/>
        <DigestValue>uHFDOZ36ftdrJSK7sDxi46eOY1xsHufyrpVMjYB3yj4=</DigestValue>
      </Reference>
      <Reference URI="/xl/media/image2.png?ContentType=image/png">
        <DigestMethod Algorithm="http://www.w3.org/2001/04/xmlenc#sha256"/>
        <DigestValue>r1F/TyxGj62TjOgIcwrKRTLCbhhVqGTkHR1REFvkrh0=</DigestValue>
      </Reference>
      <Reference URI="/xl/media/image3.png?ContentType=image/png">
        <DigestMethod Algorithm="http://www.w3.org/2001/04/xmlenc#sha256"/>
        <DigestValue>R7QfSi+HL5NmL109nNk3LyUvTKwrkE6vLq0ljxHzcAQ=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uCBDcNmAjwD/KgwDPsr8l0yZkhVY9ynqsuJno5de+bs=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dd1WEFU6+IcCYDo556cy+K4l1julTXSoT3fKAYDBl2Q=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uCBDcNmAjwD/KgwDPsr8l0yZkhVY9ynqsuJno5de+bs=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VyxdyKaWzNznwtBRhuGB4NVwTl2zrYwiCJ21nsrLXUk=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3/wvihEB0q0pBSJuCidCXai8RnJsS/8F2LuO+pkAk/8=</DigestValue>
      </Reference>
      <Reference URI="/xl/sharedStrings.xml?ContentType=application/vnd.openxmlformats-officedocument.spreadsheetml.sharedStrings+xml">
        <DigestMethod Algorithm="http://www.w3.org/2001/04/xmlenc#sha256"/>
        <DigestValue>spycAe3NAQzsRsH3+0h6AWJeHI08n03JP9Kf2ppW+mk=</DigestValue>
      </Reference>
      <Reference URI="/xl/styles.xml?ContentType=application/vnd.openxmlformats-officedocument.spreadsheetml.styles+xml">
        <DigestMethod Algorithm="http://www.w3.org/2001/04/xmlenc#sha256"/>
        <DigestValue>4Q0gB1Tn4gqnQ5/mXFppObsoR4h1xbOq/IfmN5Eaem8=</DigestValue>
      </Reference>
      <Reference URI="/xl/theme/theme1.xml?ContentType=application/vnd.openxmlformats-officedocument.theme+xml">
        <DigestMethod Algorithm="http://www.w3.org/2001/04/xmlenc#sha256"/>
        <DigestValue>O4L/xqYqPxJ0brkeZOoyaL6+nhdjLRJR2Vw40+5T5A8=</DigestValue>
      </Reference>
      <Reference URI="/xl/workbook.xml?ContentType=application/vnd.openxmlformats-officedocument.spreadsheetml.sheet.main+xml">
        <DigestMethod Algorithm="http://www.w3.org/2001/04/xmlenc#sha256"/>
        <DigestValue>oDNFoLv0+wUjax3tWp4ZY+1ufzIZiFlB+c56Kt7xCN4=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iLnqDiTvY3jcO6oGUkMq4Xn822GZ9FieCsP3rsGEq9A=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Tawd0AR3WKIFqlhccubY3AMVoPIhyN3+vwBhGLrXAaA=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kES1yCotKwnnhOOZkxVYB9G/E/IMRFzLZ5BhStIJkE0=</DigestValue>
      </Reference>
      <Reference URI="/xl/worksheets/sheet1.xml?ContentType=application/vnd.openxmlformats-officedocument.spreadsheetml.worksheet+xml">
        <DigestMethod Algorithm="http://www.w3.org/2001/04/xmlenc#sha256"/>
        <DigestValue>LrzjmAysDraxpSHilypUL96VuMiik2TVP4zwC+wcUzc=</DigestValue>
      </Reference>
      <Reference URI="/xl/worksheets/sheet2.xml?ContentType=application/vnd.openxmlformats-officedocument.spreadsheetml.worksheet+xml">
        <DigestMethod Algorithm="http://www.w3.org/2001/04/xmlenc#sha256"/>
        <DigestValue>Z0UmkcSjO3bQTi3t0W7JNQ2yzdNzDIr1/+bZYv4AII8=</DigestValue>
      </Reference>
      <Reference URI="/xl/worksheets/sheet3.xml?ContentType=application/vnd.openxmlformats-officedocument.spreadsheetml.worksheet+xml">
        <DigestMethod Algorithm="http://www.w3.org/2001/04/xmlenc#sha256"/>
        <DigestValue>0aPn7VrD1FIrnhNIX5h/lyiTR2Wpa+mOPHy6JzLNkrE=</DigestValue>
      </Reference>
      <Reference URI="/xl/worksheets/sheet4.xml?ContentType=application/vnd.openxmlformats-officedocument.spreadsheetml.worksheet+xml">
        <DigestMethod Algorithm="http://www.w3.org/2001/04/xmlenc#sha256"/>
        <DigestValue>bDROdPEqv2GRrUlAOdfwHNbxQcyEDzGQstkJoTK2q5g=</DigestValue>
      </Reference>
      <Reference URI="/xl/worksheets/sheet5.xml?ContentType=application/vnd.openxmlformats-officedocument.spreadsheetml.worksheet+xml">
        <DigestMethod Algorithm="http://www.w3.org/2001/04/xmlenc#sha256"/>
        <DigestValue>H3elzqHHd+EiEo4djeaMvzuvDbaaTvProBlosPxNmls=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2023-09-19T13:25:52Z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APROVAR</SignatureComments>
          <WindowsVersion>10.0</WindowsVersion>
          <OfficeVersion>15.0</OfficeVersion>
          <ApplicationVersion>15.0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2023-09-19T13:25:52Z</xd:SigningTime>
          <xd:SigningCertificate>
            <xd:Cert>
              <xd:CertDigest>
                <DigestMethod Algorithm="http://www.w3.org/2001/04/xmlenc#sha256"/>
                <DigestValue>t+eowr78koSMNdBX+hqv1o5TGU8oP1CFJpacNQ3xils=</DigestValue>
              </xd:CertDigest>
              <xd:IssuerSerial>
                <X509IssuerName>CN=AC SOLUTI Multipla v5, OU=AC SOLUTI v5, O=ICP-Brasil, C=BR</X509IssuerName>
                <X509SerialNumber>2338248920138244917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  <xd:CommitmentTypeQualifiers>
              <xd:CommitmentTypeQualifier>APROVAR</xd:CommitmentTypeQualifier>
            </xd:CommitmentTypeQualifiers>
          </xd:CommitmentTypeIndication>
        </xd:SignedDataObjectProperties>
      </xd:SignedProperties>
      <xd:UnsignedProperties>
        <xd:UnsignedSignatureProperties>
          <xd:CertificateValues>
            <xd:EncapsulatedX509Certificate>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/Ntz47joJvl7bf95r1gdFRBMo+evFua6ExWPPifqy6/gO97XvtjJuMdJIYqExiijS0STmUP2Sq1BDOz8VkpTBAzF6wiDMX4224uWn7ndK8J3BmOWzmIj4Lfk+lFNbwIYSeJ6/C6TSwcZpqQy6NOhLW3eOIr+EWdJFEiyr2yU0hzSRvDtdmpl2DzntlUO+5pgM5YD5GR/YxsrrycCV10ZSXN7BJLGIVZAg0BBc5d8/QYBqzk7FKdviRi2k79XV+feH1UzpUaOD2s/fTQqqhDDaNEbd+LpP9pVeuB/xxuSK70SDDWFoaKP4dqxgDBEZIAPUOJ9aIFiVUFJxNPTBgQVTb5mdKknLywVCMPA8Nf88iv1gEk3wZq3y4kyJddg5UrIVnY2xzoG3z61/N93ty1B7Inpm3D917bvuLXaYcGfDGyPYSKXITc8yvdB8FuUW3C3ugTUxU7IywrP0M58jGYXbEWotHG1CwDwureKRVaYnzt062NDYOha7r88bXD4FymU4ieMyYN/SX0VviCXnzG+x4lWYwj+r29gSZ2LBSAe3q5MePTRkU3V25Fopm7olQka7zpuKTN7ITFQWJ78yhKEdcUEAsTB03BhAPXdJ0iUjoPzFIdUZAtfa4KP/C/YODMo/oY9ru/OrOoOixte8koyHAbQube9OFZ7ATNsCAwEAAaOCAdEwggHNMB0GA1UdDgQWBBTFUu0lgAnfnILIn0fG3bRfMd25sTAPBgNVHRMBAf8EBTADAQH/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/fT9jlFPGFrAa1Hnri1WgOlG9dhBL2orVahlkeS4NXe2FyT8VbOmhOkWGsHoCd7jwly7v5Q1CMo3Uw92E8akgqtbXj9kTXB80tSDctkIC++eAilOJCFMYomK5/X8TjVwj9KSnWRgXihEd+Hc/bowV7nIe3B6Ebs+C2VoVkkMT6qT/TqafrmIH9uJfvKWuOWtGv4RLNTg6YHxqEUnD+R+l0iohxuh29+uaJhjElRrd8gNFqvEDWm4EdhWTvzMkZdH4Zun1yMUl5Y3CdD5zSLOVcgGrmE0Skh9drDZTN4BdV84FJTGrj0DwANXUNSihpaMr32Cnav7J0zmDFXeM7tIj/CVfmxQczVfRlwSb2LM+NE8+XkQFZfeHOOa2ioeI1jlGuLjuLqj9yVAX2Vn/MkFsA1tt9CeHCEI7cEBi55B9bgjBNN1kOC9XZBdxp5RS3eZSe6T1AZovxgAQEirEKmCxmlICDz4qVh1SgT3Gvj7Pubrv6SqL7dJK6VxQlUPJAibQDn29uyqwHwFX/jmbxol3GOE3ae1AKBFONwlE2YkwJb5li+IGnUeFgIwiQwZdm43TFu68QeTE2Mq30w0GsY6nbLhOnBbsrmX+dBwWi85JFtZsy9y3Kr+jNdExUPIc7VQbYZGu+5cdHthRJcTnllZeQU36sTKznw5NK0QhdR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PLANILHA</vt:lpstr>
      <vt:lpstr>MEMORIAL DE CÁLCULO</vt:lpstr>
      <vt:lpstr>CRONOGRAMA</vt:lpstr>
      <vt:lpstr>BDI</vt:lpstr>
      <vt:lpstr>MEDIÇÃO 01</vt:lpstr>
      <vt:lpstr>BDI!Area_de_impressao</vt:lpstr>
      <vt:lpstr>CRONOGRAMA!Area_de_impressao</vt:lpstr>
      <vt:lpstr>'MEDIÇÃO 01'!Area_de_impressao</vt:lpstr>
      <vt:lpstr>'MEMORIAL DE CÁLCULO'!Area_de_impressao</vt:lpstr>
      <vt:lpstr>PLANILHA!Area_de_impressao</vt:lpstr>
      <vt:lpstr>'MEDIÇÃO 01'!Titulos_de_impressao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Amaje</dc:creator>
  <cp:lastModifiedBy>PATRIMONIO</cp:lastModifiedBy>
  <cp:lastPrinted>2023-09-13T18:26:54Z</cp:lastPrinted>
  <dcterms:created xsi:type="dcterms:W3CDTF">2016-01-06T15:49:00Z</dcterms:created>
  <dcterms:modified xsi:type="dcterms:W3CDTF">2023-09-28T13:23:41Z</dcterms:modified>
</cp:coreProperties>
</file>